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3.xml" ContentType="application/vnd.openxmlformats-officedocument.spreadsheetml.chartsheet+xml"/>
  <Override PartName="/xl/worksheets/sheet10.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HareL\Documents\"/>
    </mc:Choice>
  </mc:AlternateContent>
  <xr:revisionPtr revIDLastSave="0" documentId="8_{546C51E6-F40A-48FA-84D1-D83CF1918645}" xr6:coauthVersionLast="47" xr6:coauthVersionMax="47" xr10:uidLastSave="{00000000-0000-0000-0000-000000000000}"/>
  <bookViews>
    <workbookView xWindow="-110" yWindow="-110" windowWidth="19420" windowHeight="10420" xr2:uid="{6E4D9656-AC95-45B9-8F2C-E9871E0918D4}"/>
  </bookViews>
  <sheets>
    <sheet name="Readme" sheetId="9" r:id="rId1"/>
    <sheet name="Publication Format" sheetId="24" r:id="rId2"/>
    <sheet name="Elec Mkt Stabilisation Charge" sheetId="8" r:id="rId3"/>
    <sheet name="Elec Calculations" sheetId="4" r:id="rId4"/>
    <sheet name="Elec Wpc" sheetId="5" r:id="rId5"/>
    <sheet name="Elec Wpc chart" sheetId="7" r:id="rId6"/>
    <sheet name="Elec Wc" sheetId="3" r:id="rId7"/>
    <sheet name="Elec Wc chart" sheetId="6" r:id="rId8"/>
    <sheet name="Gas Mkt Stabilisation Chart" sheetId="34" r:id="rId9"/>
    <sheet name="Gas Calculations" sheetId="32" r:id="rId10"/>
    <sheet name="Gas Wpc" sheetId="25" r:id="rId11"/>
    <sheet name="Gas Wpc chart" sheetId="28" r:id="rId12"/>
    <sheet name="Gas Wc" sheetId="29" r:id="rId13"/>
    <sheet name="Gas Wc chart" sheetId="30" r:id="rId14"/>
  </sheets>
  <definedNames>
    <definedName name="DDr" localSheetId="10">'Gas Wpc'!#REF!</definedName>
    <definedName name="DDr">'Elec Wpc'!#REF!</definedName>
    <definedName name="DDt" localSheetId="10">'Gas Wpc'!#REF!</definedName>
    <definedName name="DDt">'Elec Wpc'!#REF!</definedName>
    <definedName name="LSLT" localSheetId="9">'Gas Calculations'!$C$26</definedName>
    <definedName name="LSLT">'Elec Calculations'!$C$26</definedName>
    <definedName name="PCc" localSheetId="10">'Gas Wpc'!$D$6</definedName>
    <definedName name="PCc">'Elec Wpc'!$D$6</definedName>
    <definedName name="PCn" localSheetId="10">'Gas Wpc'!$D$7</definedName>
    <definedName name="PCn">'Elec Wpc'!$D$7</definedName>
    <definedName name="PCn_0" localSheetId="10">'Gas Wpc'!$D$6</definedName>
    <definedName name="PCn_0">'Elec Wpc'!$D$6</definedName>
    <definedName name="PCn_1" localSheetId="10">'Gas Wpc'!$D$7</definedName>
    <definedName name="PCn_1">'Elec Wpc'!$D$7</definedName>
    <definedName name="PCn_2" localSheetId="10">'Gas Wpc'!$D$8</definedName>
    <definedName name="PCn_2">'Elec Wpc'!$D$8</definedName>
    <definedName name="PCna" localSheetId="10">'Gas Wpc'!$D$7</definedName>
    <definedName name="PCna">'Elec Wpc'!$D$7</definedName>
    <definedName name="R_n" localSheetId="12">'Gas Wc'!#REF!</definedName>
    <definedName name="R_n">'Elec Wc'!#REF!</definedName>
    <definedName name="R_r" localSheetId="12">'Gas Wc'!#REF!</definedName>
    <definedName name="R_r">'Elec Wc'!#REF!</definedName>
    <definedName name="Rn" localSheetId="10">'Gas Wpc'!#REF!</definedName>
    <definedName name="Rn">'Elec Wpc'!#REF!</definedName>
    <definedName name="Rr" localSheetId="10">'Gas Wpc'!#REF!</definedName>
    <definedName name="Rr">'Elec Wpc'!#REF!</definedName>
    <definedName name="Sn" localSheetId="10">'Gas Wpc'!$D$10</definedName>
    <definedName name="Sn">'Elec Wpc'!$D$10</definedName>
    <definedName name="Sr" localSheetId="10">'Gas Wpc'!$D$9</definedName>
    <definedName name="Sr">'Elec Wpc'!$D$9</definedName>
    <definedName name="TDr" localSheetId="12">'Gas Wc'!#REF!</definedName>
    <definedName name="TDr">'Elec Wc'!#REF!</definedName>
    <definedName name="TDt" localSheetId="12">'Gas Wc'!#REF!</definedName>
    <definedName name="TDt">'Elec Wc'!#REF!</definedName>
    <definedName name="Wc" localSheetId="12">'Gas Wc'!$D$13</definedName>
    <definedName name="Wc">'Elec Wc'!$D$13</definedName>
    <definedName name="Wn" localSheetId="12">'Gas Wc'!#REF!</definedName>
    <definedName name="Wn">'Elec Wc'!#REF!</definedName>
    <definedName name="Wpc" localSheetId="10">'Gas Wpc'!$D$11</definedName>
    <definedName name="Wpc">'Elec Wpc'!$D$11</definedName>
    <definedName name="Wr" localSheetId="12">'Gas Wc'!#REF!</definedName>
    <definedName name="Wr">'Elec Wc'!#REF!</definedName>
    <definedName name="Wt" localSheetId="10">'Gas Wpc'!$D$12</definedName>
    <definedName name="Wt">'Elec Wpc'!$D$12</definedName>
    <definedName name="X" localSheetId="9">'Gas Calculations'!$C$21</definedName>
    <definedName name="X">'Elec Calculations'!$C$21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4" l="1"/>
  <c r="E23" i="25"/>
  <c r="E24" i="25"/>
  <c r="E25" i="25"/>
  <c r="E26" i="25"/>
  <c r="E27" i="25"/>
  <c r="E23" i="5"/>
  <c r="E24" i="5"/>
  <c r="E25" i="5"/>
  <c r="E26" i="5"/>
  <c r="E27" i="5"/>
  <c r="E28" i="5"/>
  <c r="E29" i="5"/>
  <c r="E22" i="5"/>
  <c r="T28" i="25"/>
  <c r="T29" i="25"/>
  <c r="T30" i="25"/>
  <c r="T31" i="25"/>
  <c r="T32" i="25"/>
  <c r="T33" i="25"/>
  <c r="T34" i="25"/>
  <c r="T35" i="25"/>
  <c r="T36" i="25"/>
  <c r="T37" i="25"/>
  <c r="T38" i="25"/>
  <c r="T39" i="25"/>
  <c r="T40" i="25"/>
  <c r="T41" i="25"/>
  <c r="T42" i="25"/>
  <c r="T43" i="25"/>
  <c r="T44" i="25"/>
  <c r="T45" i="25"/>
  <c r="T46" i="25"/>
  <c r="T47" i="25"/>
  <c r="T48" i="25"/>
  <c r="T49" i="25"/>
  <c r="T50" i="25"/>
  <c r="T51" i="25"/>
  <c r="T52" i="25"/>
  <c r="T53" i="25"/>
  <c r="T54" i="25"/>
  <c r="T55" i="25"/>
  <c r="T56" i="25"/>
  <c r="T57" i="25"/>
  <c r="T58" i="25"/>
  <c r="T59" i="25"/>
  <c r="T60" i="25"/>
  <c r="T61" i="25"/>
  <c r="T62" i="25"/>
  <c r="T63" i="25"/>
  <c r="T64" i="25"/>
  <c r="T65" i="25"/>
  <c r="T66" i="25"/>
  <c r="T67" i="25"/>
  <c r="T68" i="25"/>
  <c r="T69" i="25"/>
  <c r="T70" i="25"/>
  <c r="T71" i="25"/>
  <c r="T72" i="25"/>
  <c r="T73" i="25"/>
  <c r="T74" i="25"/>
  <c r="T75" i="25"/>
  <c r="T76" i="25"/>
  <c r="T77" i="25"/>
  <c r="T78" i="25"/>
  <c r="T79" i="25"/>
  <c r="T80" i="25"/>
  <c r="T81" i="25"/>
  <c r="T82" i="25"/>
  <c r="T83" i="25"/>
  <c r="T84" i="25"/>
  <c r="T85" i="25"/>
  <c r="T86" i="25"/>
  <c r="T87" i="25"/>
  <c r="T88" i="25"/>
  <c r="T89" i="25"/>
  <c r="T90" i="25"/>
  <c r="T91" i="25"/>
  <c r="T92" i="25"/>
  <c r="T93" i="25"/>
  <c r="T94" i="25"/>
  <c r="T95" i="25"/>
  <c r="T96" i="25"/>
  <c r="T97" i="25"/>
  <c r="T98" i="25"/>
  <c r="T99" i="25"/>
  <c r="T100" i="25"/>
  <c r="T101" i="25"/>
  <c r="T102" i="25"/>
  <c r="T103" i="25"/>
  <c r="T104" i="25"/>
  <c r="T105" i="25"/>
  <c r="T106" i="25"/>
  <c r="T107" i="25"/>
  <c r="T108" i="25"/>
  <c r="T109" i="25"/>
  <c r="T110" i="25"/>
  <c r="T111" i="25"/>
  <c r="T112" i="25"/>
  <c r="T113" i="25"/>
  <c r="T114" i="25"/>
  <c r="T115" i="25"/>
  <c r="T116" i="25"/>
  <c r="T117" i="25"/>
  <c r="T118" i="25"/>
  <c r="T119" i="25"/>
  <c r="T120" i="25"/>
  <c r="T121" i="25"/>
  <c r="T122" i="25"/>
  <c r="T123" i="25"/>
  <c r="T124" i="25"/>
  <c r="T125" i="25"/>
  <c r="T126" i="25"/>
  <c r="T127" i="25"/>
  <c r="T128" i="25"/>
  <c r="T129" i="25"/>
  <c r="T130" i="25"/>
  <c r="T131" i="25"/>
  <c r="T132" i="25"/>
  <c r="T133" i="25"/>
  <c r="T134" i="25"/>
  <c r="T135" i="25"/>
  <c r="T136" i="25"/>
  <c r="T137" i="25"/>
  <c r="T138" i="25"/>
  <c r="T139" i="25"/>
  <c r="T140" i="25"/>
  <c r="T141" i="25"/>
  <c r="T142" i="25"/>
  <c r="T143" i="25"/>
  <c r="T144" i="25"/>
  <c r="T145" i="25"/>
  <c r="T146" i="25"/>
  <c r="T147" i="25"/>
  <c r="T148" i="25"/>
  <c r="T149" i="25"/>
  <c r="T150" i="25"/>
  <c r="T151" i="25"/>
  <c r="T152" i="25"/>
  <c r="T153" i="25"/>
  <c r="T154" i="25"/>
  <c r="T155" i="25"/>
  <c r="T156" i="25"/>
  <c r="T157" i="25"/>
  <c r="T158" i="25"/>
  <c r="T159" i="25"/>
  <c r="T160" i="25"/>
  <c r="T161" i="25"/>
  <c r="T162" i="25"/>
  <c r="T163" i="25"/>
  <c r="T164" i="25"/>
  <c r="T165" i="25"/>
  <c r="T166" i="25"/>
  <c r="T167" i="25"/>
  <c r="T168" i="25"/>
  <c r="T169" i="25"/>
  <c r="T170" i="25"/>
  <c r="T171" i="25"/>
  <c r="T172" i="25"/>
  <c r="T173" i="25"/>
  <c r="T174" i="25"/>
  <c r="T175" i="25"/>
  <c r="T176" i="25"/>
  <c r="T177" i="25"/>
  <c r="T178" i="25"/>
  <c r="T179" i="25"/>
  <c r="T180" i="25"/>
  <c r="T181" i="25"/>
  <c r="T182" i="25"/>
  <c r="T183" i="25"/>
  <c r="T184" i="25"/>
  <c r="T185" i="25"/>
  <c r="T186" i="25"/>
  <c r="T187" i="25"/>
  <c r="T188" i="25"/>
  <c r="T189" i="25"/>
  <c r="T190" i="25"/>
  <c r="T191" i="25"/>
  <c r="T192" i="25"/>
  <c r="T193" i="25"/>
  <c r="T194" i="25"/>
  <c r="T195" i="25"/>
  <c r="T196" i="25"/>
  <c r="T197" i="25"/>
  <c r="T198" i="25"/>
  <c r="T199" i="25"/>
  <c r="T200" i="25"/>
  <c r="T201" i="25"/>
  <c r="T202" i="25"/>
  <c r="T203" i="25"/>
  <c r="T204" i="25"/>
  <c r="T22" i="25"/>
  <c r="C24" i="32"/>
  <c r="G39" i="4"/>
  <c r="J175" i="5" l="1"/>
  <c r="J147" i="29"/>
  <c r="I147" i="29"/>
  <c r="H147" i="29"/>
  <c r="G147" i="29"/>
  <c r="F147" i="29"/>
  <c r="J146" i="29"/>
  <c r="I146" i="29"/>
  <c r="H146" i="29"/>
  <c r="G146" i="29"/>
  <c r="F146" i="29"/>
  <c r="J145" i="29"/>
  <c r="I145" i="29"/>
  <c r="H145" i="29"/>
  <c r="G145" i="29"/>
  <c r="F145" i="29"/>
  <c r="J144" i="29"/>
  <c r="I144" i="29"/>
  <c r="H144" i="29"/>
  <c r="G144" i="29"/>
  <c r="F144" i="29"/>
  <c r="J143" i="29"/>
  <c r="I143" i="29"/>
  <c r="H143" i="29"/>
  <c r="G143" i="29"/>
  <c r="F143" i="29"/>
  <c r="J142" i="29"/>
  <c r="I142" i="29"/>
  <c r="H142" i="29"/>
  <c r="G142" i="29"/>
  <c r="F142" i="29"/>
  <c r="J141" i="29"/>
  <c r="I141" i="29"/>
  <c r="H141" i="29"/>
  <c r="G141" i="29"/>
  <c r="F141" i="29"/>
  <c r="J140" i="29"/>
  <c r="I140" i="29"/>
  <c r="H140" i="29"/>
  <c r="G140" i="29"/>
  <c r="F140" i="29"/>
  <c r="J139" i="29"/>
  <c r="I139" i="29"/>
  <c r="H139" i="29"/>
  <c r="G139" i="29"/>
  <c r="F139" i="29"/>
  <c r="J138" i="29"/>
  <c r="I138" i="29"/>
  <c r="H138" i="29"/>
  <c r="G138" i="29"/>
  <c r="F138" i="29"/>
  <c r="J137" i="29"/>
  <c r="I137" i="29"/>
  <c r="H137" i="29"/>
  <c r="G137" i="29"/>
  <c r="F137" i="29"/>
  <c r="J136" i="29"/>
  <c r="I136" i="29"/>
  <c r="H136" i="29"/>
  <c r="G136" i="29"/>
  <c r="F136" i="29"/>
  <c r="J135" i="29"/>
  <c r="I135" i="29"/>
  <c r="H135" i="29"/>
  <c r="G135" i="29"/>
  <c r="F135" i="29"/>
  <c r="J134" i="29"/>
  <c r="I134" i="29"/>
  <c r="H134" i="29"/>
  <c r="G134" i="29"/>
  <c r="F134" i="29"/>
  <c r="J133" i="29"/>
  <c r="I133" i="29"/>
  <c r="H133" i="29"/>
  <c r="G133" i="29"/>
  <c r="F133" i="29"/>
  <c r="J132" i="29"/>
  <c r="I132" i="29"/>
  <c r="H132" i="29"/>
  <c r="G132" i="29"/>
  <c r="F132" i="29"/>
  <c r="J131" i="29"/>
  <c r="I131" i="29"/>
  <c r="H131" i="29"/>
  <c r="G131" i="29"/>
  <c r="F131" i="29"/>
  <c r="J130" i="29"/>
  <c r="I130" i="29"/>
  <c r="H130" i="29"/>
  <c r="G130" i="29"/>
  <c r="F130" i="29"/>
  <c r="J129" i="29"/>
  <c r="I129" i="29"/>
  <c r="H129" i="29"/>
  <c r="G129" i="29"/>
  <c r="F129" i="29"/>
  <c r="J128" i="29"/>
  <c r="I128" i="29"/>
  <c r="H128" i="29"/>
  <c r="G128" i="29"/>
  <c r="F128" i="29"/>
  <c r="J127" i="29"/>
  <c r="I127" i="29"/>
  <c r="H127" i="29"/>
  <c r="G127" i="29"/>
  <c r="F127" i="29"/>
  <c r="J126" i="29"/>
  <c r="I126" i="29"/>
  <c r="H126" i="29"/>
  <c r="G126" i="29"/>
  <c r="F126" i="29"/>
  <c r="J125" i="29"/>
  <c r="I125" i="29"/>
  <c r="H125" i="29"/>
  <c r="G125" i="29"/>
  <c r="F125" i="29"/>
  <c r="J124" i="29"/>
  <c r="I124" i="29"/>
  <c r="H124" i="29"/>
  <c r="G124" i="29"/>
  <c r="F124" i="29"/>
  <c r="J123" i="29"/>
  <c r="I123" i="29"/>
  <c r="H123" i="29"/>
  <c r="G123" i="29"/>
  <c r="F123" i="29"/>
  <c r="J122" i="29"/>
  <c r="I122" i="29"/>
  <c r="H122" i="29"/>
  <c r="G122" i="29"/>
  <c r="F122" i="29"/>
  <c r="J121" i="29"/>
  <c r="I121" i="29"/>
  <c r="H121" i="29"/>
  <c r="G121" i="29"/>
  <c r="F121" i="29"/>
  <c r="J120" i="29"/>
  <c r="I120" i="29"/>
  <c r="H120" i="29"/>
  <c r="G120" i="29"/>
  <c r="F120" i="29"/>
  <c r="J119" i="29"/>
  <c r="I119" i="29"/>
  <c r="H119" i="29"/>
  <c r="G119" i="29"/>
  <c r="F119" i="29"/>
  <c r="J118" i="29"/>
  <c r="I118" i="29"/>
  <c r="H118" i="29"/>
  <c r="G118" i="29"/>
  <c r="F118" i="29"/>
  <c r="J117" i="29"/>
  <c r="I117" i="29"/>
  <c r="H117" i="29"/>
  <c r="G117" i="29"/>
  <c r="F117" i="29"/>
  <c r="J116" i="29"/>
  <c r="I116" i="29"/>
  <c r="H116" i="29"/>
  <c r="G116" i="29"/>
  <c r="F116" i="29"/>
  <c r="J115" i="29"/>
  <c r="I115" i="29"/>
  <c r="H115" i="29"/>
  <c r="G115" i="29"/>
  <c r="F115" i="29"/>
  <c r="J114" i="29"/>
  <c r="I114" i="29"/>
  <c r="H114" i="29"/>
  <c r="G114" i="29"/>
  <c r="F114" i="29"/>
  <c r="J113" i="29"/>
  <c r="I113" i="29"/>
  <c r="H113" i="29"/>
  <c r="G113" i="29"/>
  <c r="F113" i="29"/>
  <c r="J112" i="29"/>
  <c r="I112" i="29"/>
  <c r="H112" i="29"/>
  <c r="G112" i="29"/>
  <c r="F112" i="29"/>
  <c r="J111" i="29"/>
  <c r="I111" i="29"/>
  <c r="H111" i="29"/>
  <c r="G111" i="29"/>
  <c r="F111" i="29"/>
  <c r="J110" i="29"/>
  <c r="I110" i="29"/>
  <c r="H110" i="29"/>
  <c r="G110" i="29"/>
  <c r="F110" i="29"/>
  <c r="J109" i="29"/>
  <c r="I109" i="29"/>
  <c r="H109" i="29"/>
  <c r="G109" i="29"/>
  <c r="F109" i="29"/>
  <c r="J108" i="29"/>
  <c r="I108" i="29"/>
  <c r="H108" i="29"/>
  <c r="G108" i="29"/>
  <c r="F108" i="29"/>
  <c r="J107" i="29"/>
  <c r="I107" i="29"/>
  <c r="H107" i="29"/>
  <c r="G107" i="29"/>
  <c r="F107" i="29"/>
  <c r="J106" i="29"/>
  <c r="I106" i="29"/>
  <c r="H106" i="29"/>
  <c r="G106" i="29"/>
  <c r="F106" i="29"/>
  <c r="J105" i="29"/>
  <c r="I105" i="29"/>
  <c r="H105" i="29"/>
  <c r="G105" i="29"/>
  <c r="F105" i="29"/>
  <c r="J104" i="29"/>
  <c r="I104" i="29"/>
  <c r="H104" i="29"/>
  <c r="G104" i="29"/>
  <c r="F104" i="29"/>
  <c r="J103" i="29"/>
  <c r="I103" i="29"/>
  <c r="H103" i="29"/>
  <c r="G103" i="29"/>
  <c r="F103" i="29"/>
  <c r="J102" i="29"/>
  <c r="I102" i="29"/>
  <c r="H102" i="29"/>
  <c r="G102" i="29"/>
  <c r="F102" i="29"/>
  <c r="J101" i="29"/>
  <c r="I101" i="29"/>
  <c r="H101" i="29"/>
  <c r="G101" i="29"/>
  <c r="F101" i="29"/>
  <c r="J100" i="29"/>
  <c r="I100" i="29"/>
  <c r="H100" i="29"/>
  <c r="G100" i="29"/>
  <c r="F100" i="29"/>
  <c r="J99" i="29"/>
  <c r="I99" i="29"/>
  <c r="H99" i="29"/>
  <c r="G99" i="29"/>
  <c r="F99" i="29"/>
  <c r="J98" i="29"/>
  <c r="I98" i="29"/>
  <c r="H98" i="29"/>
  <c r="G98" i="29"/>
  <c r="F98" i="29"/>
  <c r="J97" i="29"/>
  <c r="I97" i="29"/>
  <c r="H97" i="29"/>
  <c r="G97" i="29"/>
  <c r="F97" i="29"/>
  <c r="J96" i="29"/>
  <c r="I96" i="29"/>
  <c r="H96" i="29"/>
  <c r="G96" i="29"/>
  <c r="F96" i="29"/>
  <c r="J95" i="29"/>
  <c r="I95" i="29"/>
  <c r="H95" i="29"/>
  <c r="G95" i="29"/>
  <c r="F95" i="29"/>
  <c r="J94" i="29"/>
  <c r="I94" i="29"/>
  <c r="H94" i="29"/>
  <c r="G94" i="29"/>
  <c r="F94" i="29"/>
  <c r="J93" i="29"/>
  <c r="I93" i="29"/>
  <c r="H93" i="29"/>
  <c r="G93" i="29"/>
  <c r="F93" i="29"/>
  <c r="J92" i="29"/>
  <c r="I92" i="29"/>
  <c r="H92" i="29"/>
  <c r="G92" i="29"/>
  <c r="F92" i="29"/>
  <c r="J91" i="29"/>
  <c r="I91" i="29"/>
  <c r="H91" i="29"/>
  <c r="G91" i="29"/>
  <c r="F91" i="29"/>
  <c r="J90" i="29"/>
  <c r="I90" i="29"/>
  <c r="H90" i="29"/>
  <c r="G90" i="29"/>
  <c r="F90" i="29"/>
  <c r="J89" i="29"/>
  <c r="I89" i="29"/>
  <c r="H89" i="29"/>
  <c r="G89" i="29"/>
  <c r="F89" i="29"/>
  <c r="J88" i="29"/>
  <c r="I88" i="29"/>
  <c r="H88" i="29"/>
  <c r="G88" i="29"/>
  <c r="F88" i="29"/>
  <c r="J87" i="29"/>
  <c r="I87" i="29"/>
  <c r="H87" i="29"/>
  <c r="G87" i="29"/>
  <c r="F87" i="29"/>
  <c r="J86" i="29"/>
  <c r="I86" i="29"/>
  <c r="H86" i="29"/>
  <c r="G86" i="29"/>
  <c r="F86" i="29"/>
  <c r="J85" i="29"/>
  <c r="I85" i="29"/>
  <c r="H85" i="29"/>
  <c r="G85" i="29"/>
  <c r="F85" i="29"/>
  <c r="J84" i="29"/>
  <c r="I84" i="29"/>
  <c r="H84" i="29"/>
  <c r="G84" i="29"/>
  <c r="F84" i="29"/>
  <c r="J83" i="29"/>
  <c r="I83" i="29"/>
  <c r="H83" i="29"/>
  <c r="G83" i="29"/>
  <c r="F83" i="29"/>
  <c r="J82" i="29"/>
  <c r="I82" i="29"/>
  <c r="H82" i="29"/>
  <c r="G82" i="29"/>
  <c r="F82" i="29"/>
  <c r="J81" i="29"/>
  <c r="I81" i="29"/>
  <c r="H81" i="29"/>
  <c r="G81" i="29"/>
  <c r="F81" i="29"/>
  <c r="J80" i="29"/>
  <c r="I80" i="29"/>
  <c r="H80" i="29"/>
  <c r="G80" i="29"/>
  <c r="F80" i="29"/>
  <c r="J79" i="29"/>
  <c r="I79" i="29"/>
  <c r="H79" i="29"/>
  <c r="G79" i="29"/>
  <c r="F79" i="29"/>
  <c r="J78" i="29"/>
  <c r="I78" i="29"/>
  <c r="H78" i="29"/>
  <c r="G78" i="29"/>
  <c r="F78" i="29"/>
  <c r="J77" i="29"/>
  <c r="I77" i="29"/>
  <c r="H77" i="29"/>
  <c r="G77" i="29"/>
  <c r="F77" i="29"/>
  <c r="J76" i="29"/>
  <c r="I76" i="29"/>
  <c r="H76" i="29"/>
  <c r="G76" i="29"/>
  <c r="F76" i="29"/>
  <c r="J75" i="29"/>
  <c r="I75" i="29"/>
  <c r="H75" i="29"/>
  <c r="G75" i="29"/>
  <c r="F75" i="29"/>
  <c r="J74" i="29"/>
  <c r="I74" i="29"/>
  <c r="H74" i="29"/>
  <c r="G74" i="29"/>
  <c r="F74" i="29"/>
  <c r="J73" i="29"/>
  <c r="I73" i="29"/>
  <c r="H73" i="29"/>
  <c r="G73" i="29"/>
  <c r="F73" i="29"/>
  <c r="J72" i="29"/>
  <c r="I72" i="29"/>
  <c r="H72" i="29"/>
  <c r="G72" i="29"/>
  <c r="F72" i="29"/>
  <c r="J71" i="29"/>
  <c r="I71" i="29"/>
  <c r="H71" i="29"/>
  <c r="G71" i="29"/>
  <c r="F71" i="29"/>
  <c r="J70" i="29"/>
  <c r="I70" i="29"/>
  <c r="H70" i="29"/>
  <c r="G70" i="29"/>
  <c r="F70" i="29"/>
  <c r="J69" i="29"/>
  <c r="I69" i="29"/>
  <c r="H69" i="29"/>
  <c r="G69" i="29"/>
  <c r="F69" i="29"/>
  <c r="J68" i="29"/>
  <c r="I68" i="29"/>
  <c r="H68" i="29"/>
  <c r="G68" i="29"/>
  <c r="F68" i="29"/>
  <c r="J67" i="29"/>
  <c r="I67" i="29"/>
  <c r="H67" i="29"/>
  <c r="G67" i="29"/>
  <c r="F67" i="29"/>
  <c r="J66" i="29"/>
  <c r="I66" i="29"/>
  <c r="H66" i="29"/>
  <c r="G66" i="29"/>
  <c r="F66" i="29"/>
  <c r="J65" i="29"/>
  <c r="I65" i="29"/>
  <c r="H65" i="29"/>
  <c r="G65" i="29"/>
  <c r="F65" i="29"/>
  <c r="J64" i="29"/>
  <c r="I64" i="29"/>
  <c r="H64" i="29"/>
  <c r="G64" i="29"/>
  <c r="F64" i="29"/>
  <c r="J63" i="29"/>
  <c r="I63" i="29"/>
  <c r="H63" i="29"/>
  <c r="G63" i="29"/>
  <c r="F63" i="29"/>
  <c r="J62" i="29"/>
  <c r="I62" i="29"/>
  <c r="H62" i="29"/>
  <c r="G62" i="29"/>
  <c r="F62" i="29"/>
  <c r="J61" i="29"/>
  <c r="I61" i="29"/>
  <c r="H61" i="29"/>
  <c r="G61" i="29"/>
  <c r="F61" i="29"/>
  <c r="J60" i="29"/>
  <c r="I60" i="29"/>
  <c r="H60" i="29"/>
  <c r="G60" i="29"/>
  <c r="F60" i="29"/>
  <c r="J59" i="29"/>
  <c r="I59" i="29"/>
  <c r="H59" i="29"/>
  <c r="G59" i="29"/>
  <c r="F59" i="29"/>
  <c r="J58" i="29"/>
  <c r="I58" i="29"/>
  <c r="H58" i="29"/>
  <c r="G58" i="29"/>
  <c r="F58" i="29"/>
  <c r="J57" i="29"/>
  <c r="I57" i="29"/>
  <c r="H57" i="29"/>
  <c r="G57" i="29"/>
  <c r="F57" i="29"/>
  <c r="J56" i="29"/>
  <c r="I56" i="29"/>
  <c r="H56" i="29"/>
  <c r="G56" i="29"/>
  <c r="F56" i="29"/>
  <c r="J55" i="29"/>
  <c r="I55" i="29"/>
  <c r="H55" i="29"/>
  <c r="G55" i="29"/>
  <c r="F55" i="29"/>
  <c r="J54" i="29"/>
  <c r="I54" i="29"/>
  <c r="H54" i="29"/>
  <c r="G54" i="29"/>
  <c r="F54" i="29"/>
  <c r="J53" i="29"/>
  <c r="I53" i="29"/>
  <c r="H53" i="29"/>
  <c r="G53" i="29"/>
  <c r="F53" i="29"/>
  <c r="J52" i="29"/>
  <c r="I52" i="29"/>
  <c r="H52" i="29"/>
  <c r="G52" i="29"/>
  <c r="F52" i="29"/>
  <c r="J51" i="29"/>
  <c r="I51" i="29"/>
  <c r="H51" i="29"/>
  <c r="G51" i="29"/>
  <c r="F51" i="29"/>
  <c r="J50" i="29"/>
  <c r="I50" i="29"/>
  <c r="H50" i="29"/>
  <c r="G50" i="29"/>
  <c r="F50" i="29"/>
  <c r="J49" i="29"/>
  <c r="I49" i="29"/>
  <c r="H49" i="29"/>
  <c r="G49" i="29"/>
  <c r="F49" i="29"/>
  <c r="J48" i="29"/>
  <c r="I48" i="29"/>
  <c r="H48" i="29"/>
  <c r="G48" i="29"/>
  <c r="F48" i="29"/>
  <c r="J47" i="29"/>
  <c r="I47" i="29"/>
  <c r="H47" i="29"/>
  <c r="G47" i="29"/>
  <c r="F47" i="29"/>
  <c r="J46" i="29"/>
  <c r="I46" i="29"/>
  <c r="H46" i="29"/>
  <c r="G46" i="29"/>
  <c r="F46" i="29"/>
  <c r="J45" i="29"/>
  <c r="I45" i="29"/>
  <c r="H45" i="29"/>
  <c r="G45" i="29"/>
  <c r="F45" i="29"/>
  <c r="J44" i="29"/>
  <c r="I44" i="29"/>
  <c r="H44" i="29"/>
  <c r="G44" i="29"/>
  <c r="F44" i="29"/>
  <c r="J43" i="29"/>
  <c r="I43" i="29"/>
  <c r="H43" i="29"/>
  <c r="G43" i="29"/>
  <c r="F43" i="29"/>
  <c r="J42" i="29"/>
  <c r="I42" i="29"/>
  <c r="H42" i="29"/>
  <c r="G42" i="29"/>
  <c r="F42" i="29"/>
  <c r="J41" i="29"/>
  <c r="I41" i="29"/>
  <c r="H41" i="29"/>
  <c r="G41" i="29"/>
  <c r="F41" i="29"/>
  <c r="J40" i="29"/>
  <c r="I40" i="29"/>
  <c r="H40" i="29"/>
  <c r="G40" i="29"/>
  <c r="F40" i="29"/>
  <c r="J39" i="29"/>
  <c r="I39" i="29"/>
  <c r="H39" i="29"/>
  <c r="G39" i="29"/>
  <c r="F39" i="29"/>
  <c r="J38" i="29"/>
  <c r="I38" i="29"/>
  <c r="H38" i="29"/>
  <c r="G38" i="29"/>
  <c r="F38" i="29"/>
  <c r="J37" i="29"/>
  <c r="I37" i="29"/>
  <c r="H37" i="29"/>
  <c r="G37" i="29"/>
  <c r="F37" i="29"/>
  <c r="J36" i="29"/>
  <c r="I36" i="29"/>
  <c r="H36" i="29"/>
  <c r="G36" i="29"/>
  <c r="F36" i="29"/>
  <c r="J35" i="29"/>
  <c r="I35" i="29"/>
  <c r="H35" i="29"/>
  <c r="G35" i="29"/>
  <c r="F35" i="29"/>
  <c r="J34" i="29"/>
  <c r="I34" i="29"/>
  <c r="H34" i="29"/>
  <c r="G34" i="29"/>
  <c r="F34" i="29"/>
  <c r="J33" i="29"/>
  <c r="I33" i="29"/>
  <c r="H33" i="29"/>
  <c r="G33" i="29"/>
  <c r="F33" i="29"/>
  <c r="J32" i="29"/>
  <c r="I32" i="29"/>
  <c r="H32" i="29"/>
  <c r="G32" i="29"/>
  <c r="F32" i="29"/>
  <c r="J31" i="29"/>
  <c r="I31" i="29"/>
  <c r="H31" i="29"/>
  <c r="G31" i="29"/>
  <c r="F31" i="29"/>
  <c r="J30" i="29"/>
  <c r="I30" i="29"/>
  <c r="H30" i="29"/>
  <c r="G30" i="29"/>
  <c r="F30" i="29"/>
  <c r="J29" i="29"/>
  <c r="I29" i="29"/>
  <c r="H29" i="29"/>
  <c r="G29" i="29"/>
  <c r="F29" i="29"/>
  <c r="J28" i="29"/>
  <c r="I28" i="29"/>
  <c r="H28" i="29"/>
  <c r="G28" i="29"/>
  <c r="F28" i="29"/>
  <c r="J27" i="29"/>
  <c r="I27" i="29"/>
  <c r="H27" i="29"/>
  <c r="G27" i="29"/>
  <c r="F27" i="29"/>
  <c r="J26" i="29"/>
  <c r="I26" i="29"/>
  <c r="H26" i="29"/>
  <c r="G26" i="29"/>
  <c r="F26" i="29"/>
  <c r="J25" i="29"/>
  <c r="I25" i="29"/>
  <c r="H25" i="29"/>
  <c r="G25" i="29"/>
  <c r="F25" i="29"/>
  <c r="J24" i="29"/>
  <c r="I24" i="29"/>
  <c r="H24" i="29"/>
  <c r="G24" i="29"/>
  <c r="F24" i="29"/>
  <c r="J23" i="29"/>
  <c r="I23" i="29"/>
  <c r="H23" i="29"/>
  <c r="G23" i="29"/>
  <c r="F23" i="29"/>
  <c r="J204" i="25"/>
  <c r="I204" i="25"/>
  <c r="H204" i="25"/>
  <c r="G204" i="25"/>
  <c r="F204" i="25"/>
  <c r="E204" i="25"/>
  <c r="J203" i="25"/>
  <c r="I203" i="25"/>
  <c r="H203" i="25"/>
  <c r="G203" i="25"/>
  <c r="F203" i="25"/>
  <c r="E203" i="25"/>
  <c r="J202" i="25"/>
  <c r="I202" i="25"/>
  <c r="H202" i="25"/>
  <c r="G202" i="25"/>
  <c r="F202" i="25"/>
  <c r="E202" i="25"/>
  <c r="J201" i="25"/>
  <c r="I201" i="25"/>
  <c r="H201" i="25"/>
  <c r="G201" i="25"/>
  <c r="F201" i="25"/>
  <c r="E201" i="25"/>
  <c r="J200" i="25"/>
  <c r="I200" i="25"/>
  <c r="H200" i="25"/>
  <c r="G200" i="25"/>
  <c r="F200" i="25"/>
  <c r="E200" i="25"/>
  <c r="J199" i="25"/>
  <c r="I199" i="25"/>
  <c r="H199" i="25"/>
  <c r="G199" i="25"/>
  <c r="F199" i="25"/>
  <c r="E199" i="25"/>
  <c r="J198" i="25"/>
  <c r="I198" i="25"/>
  <c r="H198" i="25"/>
  <c r="G198" i="25"/>
  <c r="F198" i="25"/>
  <c r="E198" i="25"/>
  <c r="J197" i="25"/>
  <c r="I197" i="25"/>
  <c r="H197" i="25"/>
  <c r="G197" i="25"/>
  <c r="F197" i="25"/>
  <c r="E197" i="25"/>
  <c r="J196" i="25"/>
  <c r="I196" i="25"/>
  <c r="H196" i="25"/>
  <c r="G196" i="25"/>
  <c r="F196" i="25"/>
  <c r="E196" i="25"/>
  <c r="J195" i="25"/>
  <c r="I195" i="25"/>
  <c r="H195" i="25"/>
  <c r="G195" i="25"/>
  <c r="F195" i="25"/>
  <c r="E195" i="25"/>
  <c r="J194" i="25"/>
  <c r="I194" i="25"/>
  <c r="H194" i="25"/>
  <c r="G194" i="25"/>
  <c r="F194" i="25"/>
  <c r="E194" i="25"/>
  <c r="J193" i="25"/>
  <c r="I193" i="25"/>
  <c r="H193" i="25"/>
  <c r="G193" i="25"/>
  <c r="F193" i="25"/>
  <c r="E193" i="25"/>
  <c r="J192" i="25"/>
  <c r="I192" i="25"/>
  <c r="H192" i="25"/>
  <c r="G192" i="25"/>
  <c r="F192" i="25"/>
  <c r="E192" i="25"/>
  <c r="J191" i="25"/>
  <c r="I191" i="25"/>
  <c r="H191" i="25"/>
  <c r="G191" i="25"/>
  <c r="F191" i="25"/>
  <c r="E191" i="25"/>
  <c r="J190" i="25"/>
  <c r="I190" i="25"/>
  <c r="H190" i="25"/>
  <c r="G190" i="25"/>
  <c r="F190" i="25"/>
  <c r="E190" i="25"/>
  <c r="J189" i="25"/>
  <c r="I189" i="25"/>
  <c r="H189" i="25"/>
  <c r="G189" i="25"/>
  <c r="F189" i="25"/>
  <c r="E189" i="25"/>
  <c r="J188" i="25"/>
  <c r="I188" i="25"/>
  <c r="H188" i="25"/>
  <c r="G188" i="25"/>
  <c r="F188" i="25"/>
  <c r="E188" i="25"/>
  <c r="J187" i="25"/>
  <c r="I187" i="25"/>
  <c r="H187" i="25"/>
  <c r="G187" i="25"/>
  <c r="F187" i="25"/>
  <c r="E187" i="25"/>
  <c r="J186" i="25"/>
  <c r="I186" i="25"/>
  <c r="H186" i="25"/>
  <c r="G186" i="25"/>
  <c r="F186" i="25"/>
  <c r="E186" i="25"/>
  <c r="J185" i="25"/>
  <c r="I185" i="25"/>
  <c r="H185" i="25"/>
  <c r="G185" i="25"/>
  <c r="F185" i="25"/>
  <c r="E185" i="25"/>
  <c r="J184" i="25"/>
  <c r="I184" i="25"/>
  <c r="H184" i="25"/>
  <c r="G184" i="25"/>
  <c r="F184" i="25"/>
  <c r="E184" i="25"/>
  <c r="J183" i="25"/>
  <c r="I183" i="25"/>
  <c r="H183" i="25"/>
  <c r="G183" i="25"/>
  <c r="F183" i="25"/>
  <c r="E183" i="25"/>
  <c r="J182" i="25"/>
  <c r="I182" i="25"/>
  <c r="H182" i="25"/>
  <c r="G182" i="25"/>
  <c r="F182" i="25"/>
  <c r="E182" i="25"/>
  <c r="J181" i="25"/>
  <c r="I181" i="25"/>
  <c r="H181" i="25"/>
  <c r="G181" i="25"/>
  <c r="F181" i="25"/>
  <c r="E181" i="25"/>
  <c r="J180" i="25"/>
  <c r="I180" i="25"/>
  <c r="H180" i="25"/>
  <c r="G180" i="25"/>
  <c r="F180" i="25"/>
  <c r="E180" i="25"/>
  <c r="J179" i="25"/>
  <c r="I179" i="25"/>
  <c r="H179" i="25"/>
  <c r="G179" i="25"/>
  <c r="F179" i="25"/>
  <c r="E179" i="25"/>
  <c r="J178" i="25"/>
  <c r="I178" i="25"/>
  <c r="H178" i="25"/>
  <c r="G178" i="25"/>
  <c r="F178" i="25"/>
  <c r="E178" i="25"/>
  <c r="J177" i="25"/>
  <c r="I177" i="25"/>
  <c r="H177" i="25"/>
  <c r="G177" i="25"/>
  <c r="F177" i="25"/>
  <c r="E177" i="25"/>
  <c r="J176" i="25"/>
  <c r="I176" i="25"/>
  <c r="H176" i="25"/>
  <c r="G176" i="25"/>
  <c r="F176" i="25"/>
  <c r="E176" i="25"/>
  <c r="J175" i="25"/>
  <c r="I175" i="25"/>
  <c r="H175" i="25"/>
  <c r="G175" i="25"/>
  <c r="F175" i="25"/>
  <c r="E175" i="25"/>
  <c r="J174" i="25"/>
  <c r="I174" i="25"/>
  <c r="H174" i="25"/>
  <c r="G174" i="25"/>
  <c r="F174" i="25"/>
  <c r="E174" i="25"/>
  <c r="J173" i="25"/>
  <c r="I173" i="25"/>
  <c r="H173" i="25"/>
  <c r="G173" i="25"/>
  <c r="F173" i="25"/>
  <c r="E173" i="25"/>
  <c r="J172" i="25"/>
  <c r="I172" i="25"/>
  <c r="H172" i="25"/>
  <c r="G172" i="25"/>
  <c r="F172" i="25"/>
  <c r="E172" i="25"/>
  <c r="J171" i="25"/>
  <c r="I171" i="25"/>
  <c r="H171" i="25"/>
  <c r="G171" i="25"/>
  <c r="F171" i="25"/>
  <c r="E171" i="25"/>
  <c r="J170" i="25"/>
  <c r="I170" i="25"/>
  <c r="H170" i="25"/>
  <c r="G170" i="25"/>
  <c r="F170" i="25"/>
  <c r="E170" i="25"/>
  <c r="J169" i="25"/>
  <c r="I169" i="25"/>
  <c r="H169" i="25"/>
  <c r="G169" i="25"/>
  <c r="F169" i="25"/>
  <c r="E169" i="25"/>
  <c r="J168" i="25"/>
  <c r="I168" i="25"/>
  <c r="H168" i="25"/>
  <c r="G168" i="25"/>
  <c r="F168" i="25"/>
  <c r="E168" i="25"/>
  <c r="J167" i="25"/>
  <c r="I167" i="25"/>
  <c r="H167" i="25"/>
  <c r="G167" i="25"/>
  <c r="F167" i="25"/>
  <c r="E167" i="25"/>
  <c r="J166" i="25"/>
  <c r="I166" i="25"/>
  <c r="H166" i="25"/>
  <c r="G166" i="25"/>
  <c r="F166" i="25"/>
  <c r="E166" i="25"/>
  <c r="J165" i="25"/>
  <c r="I165" i="25"/>
  <c r="H165" i="25"/>
  <c r="G165" i="25"/>
  <c r="F165" i="25"/>
  <c r="E165" i="25"/>
  <c r="J164" i="25"/>
  <c r="I164" i="25"/>
  <c r="H164" i="25"/>
  <c r="G164" i="25"/>
  <c r="F164" i="25"/>
  <c r="E164" i="25"/>
  <c r="J163" i="25"/>
  <c r="I163" i="25"/>
  <c r="H163" i="25"/>
  <c r="G163" i="25"/>
  <c r="F163" i="25"/>
  <c r="E163" i="25"/>
  <c r="J162" i="25"/>
  <c r="I162" i="25"/>
  <c r="H162" i="25"/>
  <c r="G162" i="25"/>
  <c r="F162" i="25"/>
  <c r="E162" i="25"/>
  <c r="J161" i="25"/>
  <c r="I161" i="25"/>
  <c r="H161" i="25"/>
  <c r="G161" i="25"/>
  <c r="F161" i="25"/>
  <c r="E161" i="25"/>
  <c r="J160" i="25"/>
  <c r="I160" i="25"/>
  <c r="H160" i="25"/>
  <c r="G160" i="25"/>
  <c r="F160" i="25"/>
  <c r="E160" i="25"/>
  <c r="J159" i="25"/>
  <c r="I159" i="25"/>
  <c r="H159" i="25"/>
  <c r="G159" i="25"/>
  <c r="F159" i="25"/>
  <c r="E159" i="25"/>
  <c r="J158" i="25"/>
  <c r="I158" i="25"/>
  <c r="H158" i="25"/>
  <c r="G158" i="25"/>
  <c r="F158" i="25"/>
  <c r="E158" i="25"/>
  <c r="J157" i="25"/>
  <c r="I157" i="25"/>
  <c r="H157" i="25"/>
  <c r="G157" i="25"/>
  <c r="F157" i="25"/>
  <c r="E157" i="25"/>
  <c r="J156" i="25"/>
  <c r="I156" i="25"/>
  <c r="H156" i="25"/>
  <c r="G156" i="25"/>
  <c r="F156" i="25"/>
  <c r="E156" i="25"/>
  <c r="J155" i="25"/>
  <c r="I155" i="25"/>
  <c r="H155" i="25"/>
  <c r="G155" i="25"/>
  <c r="F155" i="25"/>
  <c r="E155" i="25"/>
  <c r="J154" i="25"/>
  <c r="I154" i="25"/>
  <c r="H154" i="25"/>
  <c r="G154" i="25"/>
  <c r="F154" i="25"/>
  <c r="E154" i="25"/>
  <c r="J153" i="25"/>
  <c r="I153" i="25"/>
  <c r="H153" i="25"/>
  <c r="G153" i="25"/>
  <c r="F153" i="25"/>
  <c r="E153" i="25"/>
  <c r="J152" i="25"/>
  <c r="I152" i="25"/>
  <c r="H152" i="25"/>
  <c r="G152" i="25"/>
  <c r="F152" i="25"/>
  <c r="E152" i="25"/>
  <c r="J151" i="25"/>
  <c r="I151" i="25"/>
  <c r="H151" i="25"/>
  <c r="G151" i="25"/>
  <c r="F151" i="25"/>
  <c r="E151" i="25"/>
  <c r="J150" i="25"/>
  <c r="I150" i="25"/>
  <c r="H150" i="25"/>
  <c r="G150" i="25"/>
  <c r="F150" i="25"/>
  <c r="E150" i="25"/>
  <c r="J149" i="25"/>
  <c r="I149" i="25"/>
  <c r="H149" i="25"/>
  <c r="G149" i="25"/>
  <c r="F149" i="25"/>
  <c r="E149" i="25"/>
  <c r="J148" i="25"/>
  <c r="I148" i="25"/>
  <c r="H148" i="25"/>
  <c r="G148" i="25"/>
  <c r="F148" i="25"/>
  <c r="E148" i="25"/>
  <c r="J147" i="25"/>
  <c r="I147" i="25"/>
  <c r="H147" i="25"/>
  <c r="G147" i="25"/>
  <c r="F147" i="25"/>
  <c r="E147" i="25"/>
  <c r="J146" i="25"/>
  <c r="I146" i="25"/>
  <c r="H146" i="25"/>
  <c r="G146" i="25"/>
  <c r="F146" i="25"/>
  <c r="E146" i="25"/>
  <c r="J145" i="25"/>
  <c r="I145" i="25"/>
  <c r="H145" i="25"/>
  <c r="G145" i="25"/>
  <c r="F145" i="25"/>
  <c r="E145" i="25"/>
  <c r="J144" i="25"/>
  <c r="I144" i="25"/>
  <c r="H144" i="25"/>
  <c r="G144" i="25"/>
  <c r="F144" i="25"/>
  <c r="E144" i="25"/>
  <c r="J143" i="25"/>
  <c r="I143" i="25"/>
  <c r="H143" i="25"/>
  <c r="G143" i="25"/>
  <c r="F143" i="25"/>
  <c r="E143" i="25"/>
  <c r="J142" i="25"/>
  <c r="I142" i="25"/>
  <c r="H142" i="25"/>
  <c r="G142" i="25"/>
  <c r="F142" i="25"/>
  <c r="E142" i="25"/>
  <c r="J141" i="25"/>
  <c r="I141" i="25"/>
  <c r="H141" i="25"/>
  <c r="G141" i="25"/>
  <c r="F141" i="25"/>
  <c r="E141" i="25"/>
  <c r="J140" i="25"/>
  <c r="I140" i="25"/>
  <c r="H140" i="25"/>
  <c r="G140" i="25"/>
  <c r="F140" i="25"/>
  <c r="E140" i="25"/>
  <c r="J139" i="25"/>
  <c r="I139" i="25"/>
  <c r="H139" i="25"/>
  <c r="G139" i="25"/>
  <c r="F139" i="25"/>
  <c r="E139" i="25"/>
  <c r="J138" i="25"/>
  <c r="I138" i="25"/>
  <c r="H138" i="25"/>
  <c r="G138" i="25"/>
  <c r="F138" i="25"/>
  <c r="E138" i="25"/>
  <c r="J137" i="25"/>
  <c r="I137" i="25"/>
  <c r="H137" i="25"/>
  <c r="G137" i="25"/>
  <c r="F137" i="25"/>
  <c r="E137" i="25"/>
  <c r="J136" i="25"/>
  <c r="I136" i="25"/>
  <c r="H136" i="25"/>
  <c r="G136" i="25"/>
  <c r="F136" i="25"/>
  <c r="E136" i="25"/>
  <c r="J135" i="25"/>
  <c r="I135" i="25"/>
  <c r="H135" i="25"/>
  <c r="G135" i="25"/>
  <c r="F135" i="25"/>
  <c r="E135" i="25"/>
  <c r="J134" i="25"/>
  <c r="I134" i="25"/>
  <c r="H134" i="25"/>
  <c r="G134" i="25"/>
  <c r="F134" i="25"/>
  <c r="E134" i="25"/>
  <c r="J133" i="25"/>
  <c r="I133" i="25"/>
  <c r="H133" i="25"/>
  <c r="G133" i="25"/>
  <c r="F133" i="25"/>
  <c r="E133" i="25"/>
  <c r="J132" i="25"/>
  <c r="I132" i="25"/>
  <c r="H132" i="25"/>
  <c r="G132" i="25"/>
  <c r="F132" i="25"/>
  <c r="E132" i="25"/>
  <c r="J131" i="25"/>
  <c r="I131" i="25"/>
  <c r="H131" i="25"/>
  <c r="G131" i="25"/>
  <c r="F131" i="25"/>
  <c r="E131" i="25"/>
  <c r="J130" i="25"/>
  <c r="I130" i="25"/>
  <c r="H130" i="25"/>
  <c r="G130" i="25"/>
  <c r="F130" i="25"/>
  <c r="E130" i="25"/>
  <c r="J129" i="25"/>
  <c r="I129" i="25"/>
  <c r="H129" i="25"/>
  <c r="G129" i="25"/>
  <c r="F129" i="25"/>
  <c r="E129" i="25"/>
  <c r="J128" i="25"/>
  <c r="I128" i="25"/>
  <c r="H128" i="25"/>
  <c r="G128" i="25"/>
  <c r="F128" i="25"/>
  <c r="E128" i="25"/>
  <c r="J127" i="25"/>
  <c r="I127" i="25"/>
  <c r="H127" i="25"/>
  <c r="G127" i="25"/>
  <c r="F127" i="25"/>
  <c r="E127" i="25"/>
  <c r="J126" i="25"/>
  <c r="I126" i="25"/>
  <c r="H126" i="25"/>
  <c r="G126" i="25"/>
  <c r="F126" i="25"/>
  <c r="E126" i="25"/>
  <c r="J125" i="25"/>
  <c r="I125" i="25"/>
  <c r="H125" i="25"/>
  <c r="G125" i="25"/>
  <c r="F125" i="25"/>
  <c r="E125" i="25"/>
  <c r="J124" i="25"/>
  <c r="I124" i="25"/>
  <c r="H124" i="25"/>
  <c r="G124" i="25"/>
  <c r="F124" i="25"/>
  <c r="E124" i="25"/>
  <c r="J123" i="25"/>
  <c r="I123" i="25"/>
  <c r="H123" i="25"/>
  <c r="G123" i="25"/>
  <c r="F123" i="25"/>
  <c r="E123" i="25"/>
  <c r="J122" i="25"/>
  <c r="I122" i="25"/>
  <c r="H122" i="25"/>
  <c r="G122" i="25"/>
  <c r="F122" i="25"/>
  <c r="E122" i="25"/>
  <c r="J121" i="25"/>
  <c r="I121" i="25"/>
  <c r="H121" i="25"/>
  <c r="G121" i="25"/>
  <c r="F121" i="25"/>
  <c r="E121" i="25"/>
  <c r="J120" i="25"/>
  <c r="I120" i="25"/>
  <c r="H120" i="25"/>
  <c r="G120" i="25"/>
  <c r="F120" i="25"/>
  <c r="E120" i="25"/>
  <c r="J119" i="25"/>
  <c r="I119" i="25"/>
  <c r="H119" i="25"/>
  <c r="G119" i="25"/>
  <c r="F119" i="25"/>
  <c r="E119" i="25"/>
  <c r="J118" i="25"/>
  <c r="I118" i="25"/>
  <c r="H118" i="25"/>
  <c r="G118" i="25"/>
  <c r="F118" i="25"/>
  <c r="E118" i="25"/>
  <c r="J117" i="25"/>
  <c r="I117" i="25"/>
  <c r="H117" i="25"/>
  <c r="G117" i="25"/>
  <c r="F117" i="25"/>
  <c r="E117" i="25"/>
  <c r="J116" i="25"/>
  <c r="I116" i="25"/>
  <c r="H116" i="25"/>
  <c r="G116" i="25"/>
  <c r="F116" i="25"/>
  <c r="E116" i="25"/>
  <c r="J115" i="25"/>
  <c r="I115" i="25"/>
  <c r="H115" i="25"/>
  <c r="G115" i="25"/>
  <c r="F115" i="25"/>
  <c r="E115" i="25"/>
  <c r="J114" i="25"/>
  <c r="I114" i="25"/>
  <c r="H114" i="25"/>
  <c r="G114" i="25"/>
  <c r="F114" i="25"/>
  <c r="E114" i="25"/>
  <c r="J113" i="25"/>
  <c r="I113" i="25"/>
  <c r="H113" i="25"/>
  <c r="G113" i="25"/>
  <c r="F113" i="25"/>
  <c r="E113" i="25"/>
  <c r="J112" i="25"/>
  <c r="I112" i="25"/>
  <c r="H112" i="25"/>
  <c r="G112" i="25"/>
  <c r="F112" i="25"/>
  <c r="E112" i="25"/>
  <c r="J111" i="25"/>
  <c r="I111" i="25"/>
  <c r="H111" i="25"/>
  <c r="G111" i="25"/>
  <c r="F111" i="25"/>
  <c r="E111" i="25"/>
  <c r="J110" i="25"/>
  <c r="I110" i="25"/>
  <c r="H110" i="25"/>
  <c r="G110" i="25"/>
  <c r="F110" i="25"/>
  <c r="E110" i="25"/>
  <c r="J109" i="25"/>
  <c r="I109" i="25"/>
  <c r="H109" i="25"/>
  <c r="G109" i="25"/>
  <c r="F109" i="25"/>
  <c r="E109" i="25"/>
  <c r="J108" i="25"/>
  <c r="I108" i="25"/>
  <c r="H108" i="25"/>
  <c r="G108" i="25"/>
  <c r="F108" i="25"/>
  <c r="E108" i="25"/>
  <c r="J107" i="25"/>
  <c r="I107" i="25"/>
  <c r="H107" i="25"/>
  <c r="G107" i="25"/>
  <c r="F107" i="25"/>
  <c r="E107" i="25"/>
  <c r="J106" i="25"/>
  <c r="I106" i="25"/>
  <c r="H106" i="25"/>
  <c r="G106" i="25"/>
  <c r="F106" i="25"/>
  <c r="E106" i="25"/>
  <c r="J105" i="25"/>
  <c r="I105" i="25"/>
  <c r="H105" i="25"/>
  <c r="G105" i="25"/>
  <c r="F105" i="25"/>
  <c r="E105" i="25"/>
  <c r="J104" i="25"/>
  <c r="I104" i="25"/>
  <c r="H104" i="25"/>
  <c r="G104" i="25"/>
  <c r="F104" i="25"/>
  <c r="E104" i="25"/>
  <c r="J103" i="25"/>
  <c r="I103" i="25"/>
  <c r="H103" i="25"/>
  <c r="G103" i="25"/>
  <c r="F103" i="25"/>
  <c r="E103" i="25"/>
  <c r="J102" i="25"/>
  <c r="I102" i="25"/>
  <c r="H102" i="25"/>
  <c r="G102" i="25"/>
  <c r="F102" i="25"/>
  <c r="E102" i="25"/>
  <c r="J101" i="25"/>
  <c r="I101" i="25"/>
  <c r="H101" i="25"/>
  <c r="G101" i="25"/>
  <c r="F101" i="25"/>
  <c r="E101" i="25"/>
  <c r="J100" i="25"/>
  <c r="I100" i="25"/>
  <c r="H100" i="25"/>
  <c r="G100" i="25"/>
  <c r="F100" i="25"/>
  <c r="E100" i="25"/>
  <c r="J99" i="25"/>
  <c r="I99" i="25"/>
  <c r="H99" i="25"/>
  <c r="G99" i="25"/>
  <c r="F99" i="25"/>
  <c r="E99" i="25"/>
  <c r="J98" i="25"/>
  <c r="I98" i="25"/>
  <c r="H98" i="25"/>
  <c r="G98" i="25"/>
  <c r="F98" i="25"/>
  <c r="E98" i="25"/>
  <c r="J97" i="25"/>
  <c r="I97" i="25"/>
  <c r="H97" i="25"/>
  <c r="G97" i="25"/>
  <c r="F97" i="25"/>
  <c r="E97" i="25"/>
  <c r="J96" i="25"/>
  <c r="I96" i="25"/>
  <c r="H96" i="25"/>
  <c r="G96" i="25"/>
  <c r="F96" i="25"/>
  <c r="E96" i="25"/>
  <c r="J95" i="25"/>
  <c r="I95" i="25"/>
  <c r="H95" i="25"/>
  <c r="G95" i="25"/>
  <c r="F95" i="25"/>
  <c r="E95" i="25"/>
  <c r="J94" i="25"/>
  <c r="I94" i="25"/>
  <c r="H94" i="25"/>
  <c r="G94" i="25"/>
  <c r="F94" i="25"/>
  <c r="E94" i="25"/>
  <c r="J93" i="25"/>
  <c r="I93" i="25"/>
  <c r="H93" i="25"/>
  <c r="G93" i="25"/>
  <c r="F93" i="25"/>
  <c r="E93" i="25"/>
  <c r="J92" i="25"/>
  <c r="I92" i="25"/>
  <c r="H92" i="25"/>
  <c r="G92" i="25"/>
  <c r="F92" i="25"/>
  <c r="E92" i="25"/>
  <c r="J91" i="25"/>
  <c r="I91" i="25"/>
  <c r="H91" i="25"/>
  <c r="G91" i="25"/>
  <c r="F91" i="25"/>
  <c r="E91" i="25"/>
  <c r="J90" i="25"/>
  <c r="I90" i="25"/>
  <c r="H90" i="25"/>
  <c r="G90" i="25"/>
  <c r="F90" i="25"/>
  <c r="E90" i="25"/>
  <c r="J89" i="25"/>
  <c r="I89" i="25"/>
  <c r="H89" i="25"/>
  <c r="G89" i="25"/>
  <c r="F89" i="25"/>
  <c r="E89" i="25"/>
  <c r="J88" i="25"/>
  <c r="I88" i="25"/>
  <c r="H88" i="25"/>
  <c r="G88" i="25"/>
  <c r="F88" i="25"/>
  <c r="E88" i="25"/>
  <c r="J87" i="25"/>
  <c r="I87" i="25"/>
  <c r="H87" i="25"/>
  <c r="G87" i="25"/>
  <c r="F87" i="25"/>
  <c r="E87" i="25"/>
  <c r="J86" i="25"/>
  <c r="I86" i="25"/>
  <c r="H86" i="25"/>
  <c r="G86" i="25"/>
  <c r="F86" i="25"/>
  <c r="E86" i="25"/>
  <c r="J85" i="25"/>
  <c r="I85" i="25"/>
  <c r="H85" i="25"/>
  <c r="G85" i="25"/>
  <c r="F85" i="25"/>
  <c r="E85" i="25"/>
  <c r="J84" i="25"/>
  <c r="I84" i="25"/>
  <c r="H84" i="25"/>
  <c r="G84" i="25"/>
  <c r="F84" i="25"/>
  <c r="E84" i="25"/>
  <c r="J83" i="25"/>
  <c r="I83" i="25"/>
  <c r="H83" i="25"/>
  <c r="G83" i="25"/>
  <c r="F83" i="25"/>
  <c r="E83" i="25"/>
  <c r="J82" i="25"/>
  <c r="I82" i="25"/>
  <c r="H82" i="25"/>
  <c r="G82" i="25"/>
  <c r="F82" i="25"/>
  <c r="E82" i="25"/>
  <c r="J81" i="25"/>
  <c r="I81" i="25"/>
  <c r="H81" i="25"/>
  <c r="G81" i="25"/>
  <c r="F81" i="25"/>
  <c r="E81" i="25"/>
  <c r="J80" i="25"/>
  <c r="I80" i="25"/>
  <c r="H80" i="25"/>
  <c r="G80" i="25"/>
  <c r="F80" i="25"/>
  <c r="E80" i="25"/>
  <c r="J79" i="25"/>
  <c r="I79" i="25"/>
  <c r="H79" i="25"/>
  <c r="G79" i="25"/>
  <c r="F79" i="25"/>
  <c r="E79" i="25"/>
  <c r="J78" i="25"/>
  <c r="I78" i="25"/>
  <c r="H78" i="25"/>
  <c r="G78" i="25"/>
  <c r="F78" i="25"/>
  <c r="E78" i="25"/>
  <c r="J77" i="25"/>
  <c r="I77" i="25"/>
  <c r="H77" i="25"/>
  <c r="G77" i="25"/>
  <c r="F77" i="25"/>
  <c r="E77" i="25"/>
  <c r="J76" i="25"/>
  <c r="I76" i="25"/>
  <c r="H76" i="25"/>
  <c r="G76" i="25"/>
  <c r="F76" i="25"/>
  <c r="E76" i="25"/>
  <c r="J75" i="25"/>
  <c r="I75" i="25"/>
  <c r="H75" i="25"/>
  <c r="G75" i="25"/>
  <c r="F75" i="25"/>
  <c r="E75" i="25"/>
  <c r="J74" i="25"/>
  <c r="I74" i="25"/>
  <c r="H74" i="25"/>
  <c r="G74" i="25"/>
  <c r="F74" i="25"/>
  <c r="E74" i="25"/>
  <c r="J73" i="25"/>
  <c r="I73" i="25"/>
  <c r="H73" i="25"/>
  <c r="G73" i="25"/>
  <c r="F73" i="25"/>
  <c r="E73" i="25"/>
  <c r="J72" i="25"/>
  <c r="I72" i="25"/>
  <c r="H72" i="25"/>
  <c r="G72" i="25"/>
  <c r="F72" i="25"/>
  <c r="E72" i="25"/>
  <c r="J71" i="25"/>
  <c r="I71" i="25"/>
  <c r="H71" i="25"/>
  <c r="G71" i="25"/>
  <c r="F71" i="25"/>
  <c r="E71" i="25"/>
  <c r="J70" i="25"/>
  <c r="I70" i="25"/>
  <c r="H70" i="25"/>
  <c r="G70" i="25"/>
  <c r="F70" i="25"/>
  <c r="E70" i="25"/>
  <c r="J69" i="25"/>
  <c r="I69" i="25"/>
  <c r="H69" i="25"/>
  <c r="G69" i="25"/>
  <c r="F69" i="25"/>
  <c r="E69" i="25"/>
  <c r="J68" i="25"/>
  <c r="I68" i="25"/>
  <c r="H68" i="25"/>
  <c r="G68" i="25"/>
  <c r="F68" i="25"/>
  <c r="E68" i="25"/>
  <c r="J67" i="25"/>
  <c r="I67" i="25"/>
  <c r="H67" i="25"/>
  <c r="G67" i="25"/>
  <c r="F67" i="25"/>
  <c r="E67" i="25"/>
  <c r="J66" i="25"/>
  <c r="I66" i="25"/>
  <c r="H66" i="25"/>
  <c r="G66" i="25"/>
  <c r="F66" i="25"/>
  <c r="E66" i="25"/>
  <c r="J65" i="25"/>
  <c r="I65" i="25"/>
  <c r="H65" i="25"/>
  <c r="G65" i="25"/>
  <c r="F65" i="25"/>
  <c r="E65" i="25"/>
  <c r="J64" i="25"/>
  <c r="I64" i="25"/>
  <c r="H64" i="25"/>
  <c r="G64" i="25"/>
  <c r="F64" i="25"/>
  <c r="E64" i="25"/>
  <c r="J63" i="25"/>
  <c r="I63" i="25"/>
  <c r="H63" i="25"/>
  <c r="G63" i="25"/>
  <c r="F63" i="25"/>
  <c r="E63" i="25"/>
  <c r="J62" i="25"/>
  <c r="I62" i="25"/>
  <c r="H62" i="25"/>
  <c r="G62" i="25"/>
  <c r="F62" i="25"/>
  <c r="E62" i="25"/>
  <c r="J61" i="25"/>
  <c r="I61" i="25"/>
  <c r="H61" i="25"/>
  <c r="G61" i="25"/>
  <c r="F61" i="25"/>
  <c r="E61" i="25"/>
  <c r="J60" i="25"/>
  <c r="I60" i="25"/>
  <c r="H60" i="25"/>
  <c r="G60" i="25"/>
  <c r="F60" i="25"/>
  <c r="E60" i="25"/>
  <c r="J59" i="25"/>
  <c r="I59" i="25"/>
  <c r="H59" i="25"/>
  <c r="G59" i="25"/>
  <c r="F59" i="25"/>
  <c r="E59" i="25"/>
  <c r="J58" i="25"/>
  <c r="I58" i="25"/>
  <c r="H58" i="25"/>
  <c r="G58" i="25"/>
  <c r="F58" i="25"/>
  <c r="E58" i="25"/>
  <c r="J57" i="25"/>
  <c r="I57" i="25"/>
  <c r="H57" i="25"/>
  <c r="G57" i="25"/>
  <c r="F57" i="25"/>
  <c r="E57" i="25"/>
  <c r="J56" i="25"/>
  <c r="I56" i="25"/>
  <c r="H56" i="25"/>
  <c r="G56" i="25"/>
  <c r="F56" i="25"/>
  <c r="E56" i="25"/>
  <c r="J55" i="25"/>
  <c r="I55" i="25"/>
  <c r="H55" i="25"/>
  <c r="G55" i="25"/>
  <c r="F55" i="25"/>
  <c r="E55" i="25"/>
  <c r="J54" i="25"/>
  <c r="I54" i="25"/>
  <c r="H54" i="25"/>
  <c r="G54" i="25"/>
  <c r="F54" i="25"/>
  <c r="E54" i="25"/>
  <c r="J53" i="25"/>
  <c r="I53" i="25"/>
  <c r="H53" i="25"/>
  <c r="G53" i="25"/>
  <c r="F53" i="25"/>
  <c r="E53" i="25"/>
  <c r="J52" i="25"/>
  <c r="I52" i="25"/>
  <c r="H52" i="25"/>
  <c r="G52" i="25"/>
  <c r="F52" i="25"/>
  <c r="E52" i="25"/>
  <c r="J51" i="25"/>
  <c r="I51" i="25"/>
  <c r="H51" i="25"/>
  <c r="G51" i="25"/>
  <c r="F51" i="25"/>
  <c r="E51" i="25"/>
  <c r="J50" i="25"/>
  <c r="I50" i="25"/>
  <c r="H50" i="25"/>
  <c r="G50" i="25"/>
  <c r="F50" i="25"/>
  <c r="E50" i="25"/>
  <c r="J49" i="25"/>
  <c r="I49" i="25"/>
  <c r="H49" i="25"/>
  <c r="G49" i="25"/>
  <c r="F49" i="25"/>
  <c r="E49" i="25"/>
  <c r="J48" i="25"/>
  <c r="I48" i="25"/>
  <c r="H48" i="25"/>
  <c r="G48" i="25"/>
  <c r="F48" i="25"/>
  <c r="E48" i="25"/>
  <c r="J47" i="25"/>
  <c r="I47" i="25"/>
  <c r="H47" i="25"/>
  <c r="G47" i="25"/>
  <c r="F47" i="25"/>
  <c r="E47" i="25"/>
  <c r="J46" i="25"/>
  <c r="I46" i="25"/>
  <c r="H46" i="25"/>
  <c r="G46" i="25"/>
  <c r="F46" i="25"/>
  <c r="E46" i="25"/>
  <c r="J45" i="25"/>
  <c r="I45" i="25"/>
  <c r="H45" i="25"/>
  <c r="G45" i="25"/>
  <c r="F45" i="25"/>
  <c r="E45" i="25"/>
  <c r="J44" i="25"/>
  <c r="I44" i="25"/>
  <c r="H44" i="25"/>
  <c r="G44" i="25"/>
  <c r="F44" i="25"/>
  <c r="E44" i="25"/>
  <c r="J43" i="25"/>
  <c r="I43" i="25"/>
  <c r="H43" i="25"/>
  <c r="G43" i="25"/>
  <c r="F43" i="25"/>
  <c r="E43" i="25"/>
  <c r="J42" i="25"/>
  <c r="I42" i="25"/>
  <c r="H42" i="25"/>
  <c r="G42" i="25"/>
  <c r="F42" i="25"/>
  <c r="E42" i="25"/>
  <c r="J41" i="25"/>
  <c r="I41" i="25"/>
  <c r="H41" i="25"/>
  <c r="G41" i="25"/>
  <c r="F41" i="25"/>
  <c r="E41" i="25"/>
  <c r="J40" i="25"/>
  <c r="I40" i="25"/>
  <c r="H40" i="25"/>
  <c r="G40" i="25"/>
  <c r="F40" i="25"/>
  <c r="E40" i="25"/>
  <c r="J39" i="25"/>
  <c r="I39" i="25"/>
  <c r="H39" i="25"/>
  <c r="G39" i="25"/>
  <c r="F39" i="25"/>
  <c r="E39" i="25"/>
  <c r="J38" i="25"/>
  <c r="I38" i="25"/>
  <c r="H38" i="25"/>
  <c r="G38" i="25"/>
  <c r="F38" i="25"/>
  <c r="E38" i="25"/>
  <c r="J37" i="25"/>
  <c r="I37" i="25"/>
  <c r="H37" i="25"/>
  <c r="G37" i="25"/>
  <c r="F37" i="25"/>
  <c r="E37" i="25"/>
  <c r="J36" i="25"/>
  <c r="I36" i="25"/>
  <c r="H36" i="25"/>
  <c r="G36" i="25"/>
  <c r="F36" i="25"/>
  <c r="E36" i="25"/>
  <c r="J35" i="25"/>
  <c r="I35" i="25"/>
  <c r="H35" i="25"/>
  <c r="G35" i="25"/>
  <c r="F35" i="25"/>
  <c r="E35" i="25"/>
  <c r="J34" i="25"/>
  <c r="I34" i="25"/>
  <c r="H34" i="25"/>
  <c r="G34" i="25"/>
  <c r="F34" i="25"/>
  <c r="E34" i="25"/>
  <c r="J33" i="25"/>
  <c r="I33" i="25"/>
  <c r="H33" i="25"/>
  <c r="G33" i="25"/>
  <c r="F33" i="25"/>
  <c r="E33" i="25"/>
  <c r="J32" i="25"/>
  <c r="I32" i="25"/>
  <c r="H32" i="25"/>
  <c r="G32" i="25"/>
  <c r="F32" i="25"/>
  <c r="E32" i="25"/>
  <c r="J31" i="25"/>
  <c r="I31" i="25"/>
  <c r="H31" i="25"/>
  <c r="G31" i="25"/>
  <c r="F31" i="25"/>
  <c r="E31" i="25"/>
  <c r="J30" i="25"/>
  <c r="I30" i="25"/>
  <c r="H30" i="25"/>
  <c r="G30" i="25"/>
  <c r="F30" i="25"/>
  <c r="E30" i="25"/>
  <c r="J29" i="25"/>
  <c r="I29" i="25"/>
  <c r="H29" i="25"/>
  <c r="G29" i="25"/>
  <c r="F29" i="25"/>
  <c r="E29" i="25"/>
  <c r="J28" i="25"/>
  <c r="I28" i="25"/>
  <c r="H28" i="25"/>
  <c r="G28" i="25"/>
  <c r="F28" i="25"/>
  <c r="E28" i="25"/>
  <c r="J27" i="25"/>
  <c r="I27" i="25"/>
  <c r="H27" i="25"/>
  <c r="G27" i="25"/>
  <c r="F27" i="25"/>
  <c r="J26" i="25"/>
  <c r="I26" i="25"/>
  <c r="H26" i="25"/>
  <c r="G26" i="25"/>
  <c r="F26" i="25"/>
  <c r="J25" i="25"/>
  <c r="I25" i="25"/>
  <c r="H25" i="25"/>
  <c r="G25" i="25"/>
  <c r="F25" i="25"/>
  <c r="J24" i="25"/>
  <c r="I24" i="25"/>
  <c r="H24" i="25"/>
  <c r="G24" i="25"/>
  <c r="F24" i="25"/>
  <c r="J23" i="25"/>
  <c r="I23" i="25"/>
  <c r="H23" i="25"/>
  <c r="G23" i="25"/>
  <c r="F23" i="25"/>
  <c r="J22" i="25"/>
  <c r="I22" i="25"/>
  <c r="H22" i="25"/>
  <c r="G22" i="25"/>
  <c r="F22" i="2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2" i="5"/>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23" i="3"/>
  <c r="W205" i="5" l="1"/>
  <c r="E30" i="5" l="1"/>
  <c r="M29" i="25"/>
  <c r="M28" i="25"/>
  <c r="O26" i="25"/>
  <c r="O25" i="25"/>
  <c r="O24" i="25"/>
  <c r="O23" i="25"/>
  <c r="M59" i="25"/>
  <c r="M23" i="3"/>
  <c r="M22" i="5"/>
  <c r="D10" i="5"/>
  <c r="M24" i="5"/>
  <c r="M23" i="5"/>
  <c r="M74" i="5"/>
  <c r="M73" i="5"/>
  <c r="M72" i="5"/>
  <c r="M71" i="5"/>
  <c r="M70" i="5"/>
  <c r="M59" i="5"/>
  <c r="M25" i="5"/>
  <c r="E12" i="24"/>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O79" i="25"/>
  <c r="O80" i="25"/>
  <c r="O81" i="25"/>
  <c r="O82" i="25"/>
  <c r="O83" i="25"/>
  <c r="O84" i="25"/>
  <c r="O85" i="25"/>
  <c r="O86" i="25"/>
  <c r="O87" i="25"/>
  <c r="O88" i="25"/>
  <c r="O89" i="25"/>
  <c r="O90" i="25"/>
  <c r="O91" i="25"/>
  <c r="O92" i="25"/>
  <c r="O93" i="25"/>
  <c r="O94" i="25"/>
  <c r="O95" i="25"/>
  <c r="O96" i="25"/>
  <c r="O97" i="25"/>
  <c r="O98" i="25"/>
  <c r="O99" i="25"/>
  <c r="O100" i="25"/>
  <c r="O101" i="25"/>
  <c r="O102" i="25"/>
  <c r="O103" i="25"/>
  <c r="O104" i="25"/>
  <c r="O105" i="25"/>
  <c r="O106" i="25"/>
  <c r="O107" i="25"/>
  <c r="O108" i="25"/>
  <c r="O109" i="25"/>
  <c r="O110" i="25"/>
  <c r="O111" i="25"/>
  <c r="O112" i="25"/>
  <c r="O113" i="25"/>
  <c r="O114" i="25"/>
  <c r="O115" i="25"/>
  <c r="O116" i="25"/>
  <c r="O117" i="25"/>
  <c r="O118" i="25"/>
  <c r="O119" i="25"/>
  <c r="O120" i="25"/>
  <c r="O121" i="25"/>
  <c r="O122" i="25"/>
  <c r="O123" i="25"/>
  <c r="O124" i="25"/>
  <c r="O125" i="25"/>
  <c r="O126" i="25"/>
  <c r="O127" i="25"/>
  <c r="O128" i="25"/>
  <c r="O129" i="25"/>
  <c r="O130" i="25"/>
  <c r="O131" i="25"/>
  <c r="O132" i="25"/>
  <c r="O133" i="25"/>
  <c r="O134" i="25"/>
  <c r="O135" i="25"/>
  <c r="O136" i="25"/>
  <c r="O137" i="25"/>
  <c r="O138" i="25"/>
  <c r="O139" i="25"/>
  <c r="O140" i="25"/>
  <c r="O141" i="25"/>
  <c r="O142" i="25"/>
  <c r="O143" i="25"/>
  <c r="O144" i="25"/>
  <c r="O145" i="25"/>
  <c r="O146" i="25"/>
  <c r="O147" i="25"/>
  <c r="O148" i="25"/>
  <c r="O149" i="25"/>
  <c r="O150" i="25"/>
  <c r="O151" i="25"/>
  <c r="O152" i="25"/>
  <c r="O153" i="25"/>
  <c r="O154" i="25"/>
  <c r="O155" i="25"/>
  <c r="O156" i="25"/>
  <c r="O157" i="25"/>
  <c r="O158" i="25"/>
  <c r="O159" i="25"/>
  <c r="O160" i="25"/>
  <c r="O161" i="25"/>
  <c r="O162" i="25"/>
  <c r="O163" i="25"/>
  <c r="O164" i="25"/>
  <c r="O165" i="25"/>
  <c r="O166" i="25"/>
  <c r="O167" i="25"/>
  <c r="O168" i="25"/>
  <c r="O169" i="25"/>
  <c r="O170" i="25"/>
  <c r="O171" i="25"/>
  <c r="O172" i="25"/>
  <c r="O173" i="25"/>
  <c r="O174" i="25"/>
  <c r="O175" i="25"/>
  <c r="O176" i="25"/>
  <c r="O177" i="25"/>
  <c r="O178" i="25"/>
  <c r="O179" i="25"/>
  <c r="O180" i="25"/>
  <c r="O181" i="25"/>
  <c r="O182" i="25"/>
  <c r="O183" i="25"/>
  <c r="O184" i="25"/>
  <c r="O185" i="25"/>
  <c r="O186" i="25"/>
  <c r="O187" i="25"/>
  <c r="O188" i="25"/>
  <c r="O189" i="25"/>
  <c r="O190" i="25"/>
  <c r="O191" i="25"/>
  <c r="O192" i="25"/>
  <c r="O193" i="25"/>
  <c r="O194" i="25"/>
  <c r="O195" i="25"/>
  <c r="O196" i="25"/>
  <c r="O197" i="25"/>
  <c r="O198" i="25"/>
  <c r="O199" i="25"/>
  <c r="O200" i="25"/>
  <c r="O201" i="25"/>
  <c r="O202" i="25"/>
  <c r="O203" i="25"/>
  <c r="O204" i="25"/>
  <c r="O22" i="25"/>
  <c r="M23" i="25"/>
  <c r="M24" i="25"/>
  <c r="M25" i="25"/>
  <c r="M26" i="25"/>
  <c r="M27"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6" i="25"/>
  <c r="M97" i="25"/>
  <c r="M98" i="25"/>
  <c r="M99" i="25"/>
  <c r="M100" i="25"/>
  <c r="M101" i="25"/>
  <c r="M102" i="25"/>
  <c r="M103" i="25"/>
  <c r="M104" i="25"/>
  <c r="M105" i="25"/>
  <c r="M106" i="25"/>
  <c r="M107" i="25"/>
  <c r="M108" i="25"/>
  <c r="M109" i="25"/>
  <c r="M110" i="25"/>
  <c r="M111" i="25"/>
  <c r="M112" i="25"/>
  <c r="M113" i="25"/>
  <c r="M114" i="25"/>
  <c r="M115" i="25"/>
  <c r="M116" i="25"/>
  <c r="M117" i="25"/>
  <c r="M118" i="25"/>
  <c r="M119" i="25"/>
  <c r="M120" i="25"/>
  <c r="M121" i="25"/>
  <c r="M122" i="25"/>
  <c r="M123" i="25"/>
  <c r="M124" i="25"/>
  <c r="M125" i="25"/>
  <c r="M126" i="25"/>
  <c r="M127" i="25"/>
  <c r="M128" i="25"/>
  <c r="M129" i="25"/>
  <c r="M130" i="25"/>
  <c r="M131" i="25"/>
  <c r="M132" i="25"/>
  <c r="M133" i="25"/>
  <c r="M134" i="25"/>
  <c r="M135" i="25"/>
  <c r="M136" i="25"/>
  <c r="M137" i="25"/>
  <c r="M138" i="25"/>
  <c r="M139" i="25"/>
  <c r="M140" i="25"/>
  <c r="M141" i="25"/>
  <c r="M142" i="25"/>
  <c r="M143" i="25"/>
  <c r="M144" i="25"/>
  <c r="M145" i="25"/>
  <c r="M146" i="25"/>
  <c r="M147" i="25"/>
  <c r="M148" i="25"/>
  <c r="M149" i="25"/>
  <c r="M150" i="25"/>
  <c r="M151" i="25"/>
  <c r="M152" i="25"/>
  <c r="M153" i="25"/>
  <c r="M154" i="25"/>
  <c r="M155" i="25"/>
  <c r="M156" i="25"/>
  <c r="M157" i="25"/>
  <c r="M158" i="25"/>
  <c r="M159" i="25"/>
  <c r="M160" i="25"/>
  <c r="M161" i="25"/>
  <c r="M162" i="25"/>
  <c r="M163" i="25"/>
  <c r="M164" i="25"/>
  <c r="M165" i="25"/>
  <c r="M166" i="25"/>
  <c r="M167" i="25"/>
  <c r="M168" i="25"/>
  <c r="M169" i="25"/>
  <c r="M170" i="25"/>
  <c r="M171" i="25"/>
  <c r="M172" i="25"/>
  <c r="M173" i="25"/>
  <c r="M174" i="25"/>
  <c r="M175" i="25"/>
  <c r="M176" i="25"/>
  <c r="M177" i="25"/>
  <c r="M178" i="25"/>
  <c r="M179" i="25"/>
  <c r="M180" i="25"/>
  <c r="M181" i="25"/>
  <c r="M182" i="25"/>
  <c r="M183" i="25"/>
  <c r="M184" i="25"/>
  <c r="M185" i="25"/>
  <c r="M186" i="25"/>
  <c r="M187" i="25"/>
  <c r="M188" i="25"/>
  <c r="M189" i="25"/>
  <c r="M190" i="25"/>
  <c r="M191" i="25"/>
  <c r="M192" i="25"/>
  <c r="M193" i="25"/>
  <c r="M194" i="25"/>
  <c r="M195" i="25"/>
  <c r="M196" i="25"/>
  <c r="M197" i="25"/>
  <c r="M198" i="25"/>
  <c r="M199" i="25"/>
  <c r="M200" i="25"/>
  <c r="M201" i="25"/>
  <c r="M202" i="25"/>
  <c r="M203" i="25"/>
  <c r="M204" i="25"/>
  <c r="M22" i="25"/>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2"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60" i="5"/>
  <c r="M61" i="5"/>
  <c r="M62" i="5"/>
  <c r="M63" i="5"/>
  <c r="M64" i="5"/>
  <c r="M65" i="5"/>
  <c r="M66" i="5"/>
  <c r="M67" i="5"/>
  <c r="M68" i="5"/>
  <c r="M69"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D6" i="29" l="1"/>
  <c r="C12" i="24"/>
  <c r="D9" i="24" l="1"/>
  <c r="D12" i="24" s="1"/>
  <c r="C4" i="32" s="1"/>
  <c r="E13" i="29" l="1"/>
  <c r="E8" i="25"/>
  <c r="E7" i="25"/>
  <c r="E6" i="25"/>
  <c r="D10" i="25"/>
  <c r="D9" i="25"/>
  <c r="G129" i="34" l="1"/>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50" i="32"/>
  <c r="F50" i="32"/>
  <c r="D50" i="32"/>
  <c r="G49" i="32"/>
  <c r="F49" i="32"/>
  <c r="D49" i="32"/>
  <c r="G48" i="32"/>
  <c r="F48" i="32"/>
  <c r="D48" i="32"/>
  <c r="G47" i="32"/>
  <c r="F47" i="32"/>
  <c r="H112" i="34" s="1"/>
  <c r="D47" i="32"/>
  <c r="G46" i="32"/>
  <c r="F46" i="32"/>
  <c r="H88" i="34" s="1"/>
  <c r="D46" i="32"/>
  <c r="G45" i="32"/>
  <c r="F45" i="32"/>
  <c r="H72" i="34" s="1"/>
  <c r="D45" i="32"/>
  <c r="G44" i="32"/>
  <c r="F44" i="32"/>
  <c r="H48" i="34" s="1"/>
  <c r="D44" i="32"/>
  <c r="G43" i="32"/>
  <c r="F43" i="32"/>
  <c r="H24" i="34" s="1"/>
  <c r="D43" i="32"/>
  <c r="G42" i="32"/>
  <c r="F42" i="32"/>
  <c r="H8" i="34" s="1"/>
  <c r="D42" i="32"/>
  <c r="G41" i="32"/>
  <c r="F41" i="32"/>
  <c r="D41" i="32"/>
  <c r="G40" i="32"/>
  <c r="F40" i="32"/>
  <c r="D40" i="32"/>
  <c r="G39" i="32"/>
  <c r="F39" i="32"/>
  <c r="D39" i="32"/>
  <c r="I13" i="34"/>
  <c r="D22" i="32"/>
  <c r="D11" i="32"/>
  <c r="B35" i="32" s="1"/>
  <c r="D10" i="32"/>
  <c r="D9" i="32"/>
  <c r="F50" i="4"/>
  <c r="F49" i="4"/>
  <c r="F48" i="4"/>
  <c r="F47" i="4"/>
  <c r="F46" i="4"/>
  <c r="F45" i="4"/>
  <c r="F44" i="4"/>
  <c r="F43" i="4"/>
  <c r="F42" i="4"/>
  <c r="F41" i="4"/>
  <c r="F40" i="4"/>
  <c r="F39" i="4"/>
  <c r="C147" i="29"/>
  <c r="C146" i="29"/>
  <c r="C145" i="29"/>
  <c r="C144" i="29"/>
  <c r="C143" i="29"/>
  <c r="C142" i="29"/>
  <c r="C141" i="29"/>
  <c r="C140" i="29"/>
  <c r="C139" i="29"/>
  <c r="C138" i="29"/>
  <c r="C137" i="29"/>
  <c r="C136" i="29"/>
  <c r="C135" i="29"/>
  <c r="C134" i="29"/>
  <c r="C133" i="29"/>
  <c r="C132" i="29"/>
  <c r="C131" i="29"/>
  <c r="C130" i="29"/>
  <c r="C129" i="29"/>
  <c r="C128" i="29"/>
  <c r="C127" i="29"/>
  <c r="C126" i="29"/>
  <c r="C125" i="29"/>
  <c r="C124" i="29"/>
  <c r="C123" i="29"/>
  <c r="C122" i="29"/>
  <c r="C121" i="29"/>
  <c r="C120" i="29"/>
  <c r="C119" i="29"/>
  <c r="C118" i="29"/>
  <c r="C117" i="29"/>
  <c r="C116" i="29"/>
  <c r="C115" i="29"/>
  <c r="C114" i="29"/>
  <c r="C113" i="29"/>
  <c r="C112" i="29"/>
  <c r="C111" i="29"/>
  <c r="C110" i="29"/>
  <c r="C109" i="29"/>
  <c r="C108" i="29"/>
  <c r="C107" i="29"/>
  <c r="C106" i="29"/>
  <c r="C105" i="29"/>
  <c r="C104" i="29"/>
  <c r="C103" i="29"/>
  <c r="C102" i="29"/>
  <c r="C101" i="29"/>
  <c r="C100" i="29"/>
  <c r="C99" i="29"/>
  <c r="C98" i="29"/>
  <c r="C97" i="29"/>
  <c r="C96" i="29"/>
  <c r="C95" i="29"/>
  <c r="C94" i="29"/>
  <c r="C93" i="29"/>
  <c r="C92" i="29"/>
  <c r="C91" i="29"/>
  <c r="C90" i="29"/>
  <c r="C89" i="29"/>
  <c r="C88" i="29"/>
  <c r="C87" i="29"/>
  <c r="C86" i="29"/>
  <c r="C85" i="29"/>
  <c r="C84" i="29"/>
  <c r="C83" i="29"/>
  <c r="C82" i="29"/>
  <c r="C81" i="29"/>
  <c r="C80" i="29"/>
  <c r="C79" i="29"/>
  <c r="C78" i="29"/>
  <c r="C77" i="29"/>
  <c r="C76" i="29"/>
  <c r="C75" i="29"/>
  <c r="C74" i="29"/>
  <c r="C73" i="29"/>
  <c r="C72" i="29"/>
  <c r="C71" i="29"/>
  <c r="C70" i="29"/>
  <c r="C69" i="29"/>
  <c r="C68" i="29"/>
  <c r="C67" i="29"/>
  <c r="C66" i="29"/>
  <c r="C65" i="29"/>
  <c r="C64" i="29"/>
  <c r="C63" i="29"/>
  <c r="C62" i="29"/>
  <c r="C61" i="29"/>
  <c r="C60" i="29"/>
  <c r="C59" i="29"/>
  <c r="C58" i="29"/>
  <c r="C57" i="29"/>
  <c r="C56" i="29"/>
  <c r="C55" i="29"/>
  <c r="C54" i="29"/>
  <c r="C53" i="29"/>
  <c r="C52" i="29"/>
  <c r="C51" i="29"/>
  <c r="C50" i="29"/>
  <c r="C49" i="29"/>
  <c r="C48" i="29"/>
  <c r="C47" i="29"/>
  <c r="C46" i="29"/>
  <c r="C45" i="29"/>
  <c r="C44" i="29"/>
  <c r="C43" i="29"/>
  <c r="C42" i="29"/>
  <c r="C41" i="29"/>
  <c r="C40" i="29"/>
  <c r="C39" i="29"/>
  <c r="C38" i="29"/>
  <c r="C37" i="29"/>
  <c r="C36" i="29"/>
  <c r="C35" i="29"/>
  <c r="C34" i="29"/>
  <c r="C33" i="29"/>
  <c r="C32" i="29"/>
  <c r="C31" i="29"/>
  <c r="C30" i="29"/>
  <c r="C29" i="29"/>
  <c r="C28" i="29"/>
  <c r="C27" i="29"/>
  <c r="C26" i="29"/>
  <c r="C25" i="29"/>
  <c r="C24" i="29"/>
  <c r="C23" i="29"/>
  <c r="AF15" i="29"/>
  <c r="AJ15" i="29" s="1"/>
  <c r="AL15" i="29" s="1"/>
  <c r="AD15" i="29"/>
  <c r="AA15" i="29"/>
  <c r="AC15" i="29" s="1"/>
  <c r="AI14" i="29"/>
  <c r="AF14" i="29"/>
  <c r="AJ14" i="29" s="1"/>
  <c r="AL14" i="29" s="1"/>
  <c r="AD14" i="29"/>
  <c r="AA14" i="29"/>
  <c r="AC14" i="29" s="1"/>
  <c r="AI13" i="29"/>
  <c r="AF13" i="29"/>
  <c r="AJ13" i="29" s="1"/>
  <c r="AL13" i="29" s="1"/>
  <c r="AD13" i="29"/>
  <c r="AA13" i="29"/>
  <c r="AC13" i="29" s="1"/>
  <c r="AI12" i="29"/>
  <c r="AF12" i="29"/>
  <c r="AJ12" i="29" s="1"/>
  <c r="AL12" i="29" s="1"/>
  <c r="AD12" i="29"/>
  <c r="AA12" i="29"/>
  <c r="AC12" i="29" s="1"/>
  <c r="AI11" i="29"/>
  <c r="AF11" i="29"/>
  <c r="AH11" i="29" s="1"/>
  <c r="AD11" i="29"/>
  <c r="AA11" i="29"/>
  <c r="AC11" i="29" s="1"/>
  <c r="AI10" i="29"/>
  <c r="AF10" i="29"/>
  <c r="AE10" i="29" s="1"/>
  <c r="AD10" i="29"/>
  <c r="AA10" i="29"/>
  <c r="AC10" i="29" s="1"/>
  <c r="AI9" i="29"/>
  <c r="AF9" i="29"/>
  <c r="AH9" i="29" s="1"/>
  <c r="AD9" i="29"/>
  <c r="AA9" i="29"/>
  <c r="AC9" i="29" s="1"/>
  <c r="AI8" i="29"/>
  <c r="AF8" i="29"/>
  <c r="AJ8" i="29" s="1"/>
  <c r="AL8" i="29" s="1"/>
  <c r="AD8" i="29"/>
  <c r="AA8" i="29"/>
  <c r="AC8" i="29" s="1"/>
  <c r="AI7" i="29"/>
  <c r="AF7" i="29"/>
  <c r="AJ7" i="29" s="1"/>
  <c r="AL7" i="29" s="1"/>
  <c r="AD7" i="29"/>
  <c r="AA7" i="29"/>
  <c r="AC7" i="29" s="1"/>
  <c r="D7" i="29"/>
  <c r="AJ6" i="29"/>
  <c r="AL6" i="29" s="1"/>
  <c r="AI6" i="29"/>
  <c r="AH6" i="29"/>
  <c r="AE6" i="29"/>
  <c r="AD6" i="29"/>
  <c r="AC6" i="29"/>
  <c r="AJ11" i="29" l="1"/>
  <c r="AL11" i="29" s="1"/>
  <c r="AE13" i="29"/>
  <c r="AH13" i="29"/>
  <c r="AE7" i="29"/>
  <c r="H127" i="34"/>
  <c r="H119" i="34"/>
  <c r="H111" i="34"/>
  <c r="H103" i="34"/>
  <c r="H95" i="34"/>
  <c r="H87" i="34"/>
  <c r="H79" i="34"/>
  <c r="H71" i="34"/>
  <c r="H63" i="34"/>
  <c r="H55" i="34"/>
  <c r="H47" i="34"/>
  <c r="H39" i="34"/>
  <c r="H31" i="34"/>
  <c r="H23" i="34"/>
  <c r="H15" i="34"/>
  <c r="H7" i="34"/>
  <c r="I124" i="34"/>
  <c r="I116" i="34"/>
  <c r="I108" i="34"/>
  <c r="I100" i="34"/>
  <c r="I92" i="34"/>
  <c r="I84" i="34"/>
  <c r="I76" i="34"/>
  <c r="I68" i="34"/>
  <c r="I60" i="34"/>
  <c r="I52" i="34"/>
  <c r="I44" i="34"/>
  <c r="I36" i="34"/>
  <c r="I28" i="34"/>
  <c r="I20" i="34"/>
  <c r="I12" i="34"/>
  <c r="H126" i="34"/>
  <c r="H118" i="34"/>
  <c r="H110" i="34"/>
  <c r="H102" i="34"/>
  <c r="H94" i="34"/>
  <c r="H86" i="34"/>
  <c r="H78" i="34"/>
  <c r="H70" i="34"/>
  <c r="H62" i="34"/>
  <c r="H54" i="34"/>
  <c r="H46" i="34"/>
  <c r="H38" i="34"/>
  <c r="H30" i="34"/>
  <c r="H22" i="34"/>
  <c r="H14" i="34"/>
  <c r="H6" i="34"/>
  <c r="I123" i="34"/>
  <c r="I115" i="34"/>
  <c r="I107" i="34"/>
  <c r="I99" i="34"/>
  <c r="I91" i="34"/>
  <c r="I83" i="34"/>
  <c r="I75" i="34"/>
  <c r="I67" i="34"/>
  <c r="I59" i="34"/>
  <c r="I51" i="34"/>
  <c r="I43" i="34"/>
  <c r="I35" i="34"/>
  <c r="I27" i="34"/>
  <c r="I19" i="34"/>
  <c r="I11" i="34"/>
  <c r="H125" i="34"/>
  <c r="H117" i="34"/>
  <c r="H109" i="34"/>
  <c r="H101" i="34"/>
  <c r="H93" i="34"/>
  <c r="H85" i="34"/>
  <c r="H77" i="34"/>
  <c r="H69" i="34"/>
  <c r="H61" i="34"/>
  <c r="H53" i="34"/>
  <c r="H45" i="34"/>
  <c r="H37" i="34"/>
  <c r="H29" i="34"/>
  <c r="H21" i="34"/>
  <c r="H13" i="34"/>
  <c r="I5" i="34"/>
  <c r="I122" i="34"/>
  <c r="I114" i="34"/>
  <c r="I106" i="34"/>
  <c r="I98" i="34"/>
  <c r="I90" i="34"/>
  <c r="I82" i="34"/>
  <c r="I74" i="34"/>
  <c r="I66" i="34"/>
  <c r="I58" i="34"/>
  <c r="I50" i="34"/>
  <c r="I42" i="34"/>
  <c r="I34" i="34"/>
  <c r="I26" i="34"/>
  <c r="I18" i="34"/>
  <c r="I10" i="34"/>
  <c r="H124" i="34"/>
  <c r="H116" i="34"/>
  <c r="H108" i="34"/>
  <c r="H100" i="34"/>
  <c r="H92" i="34"/>
  <c r="H84" i="34"/>
  <c r="H76" i="34"/>
  <c r="H68" i="34"/>
  <c r="H60" i="34"/>
  <c r="H52" i="34"/>
  <c r="H44" i="34"/>
  <c r="H36" i="34"/>
  <c r="H28" i="34"/>
  <c r="H20" i="34"/>
  <c r="H12" i="34"/>
  <c r="I129" i="34"/>
  <c r="I121" i="34"/>
  <c r="I113" i="34"/>
  <c r="I105" i="34"/>
  <c r="I97" i="34"/>
  <c r="I89" i="34"/>
  <c r="I81" i="34"/>
  <c r="I73" i="34"/>
  <c r="I65" i="34"/>
  <c r="I57" i="34"/>
  <c r="I49" i="34"/>
  <c r="I41" i="34"/>
  <c r="I33" i="34"/>
  <c r="I25" i="34"/>
  <c r="I17" i="34"/>
  <c r="I9" i="34"/>
  <c r="H123" i="34"/>
  <c r="H115" i="34"/>
  <c r="H107" i="34"/>
  <c r="H99" i="34"/>
  <c r="H91" i="34"/>
  <c r="H83" i="34"/>
  <c r="H75" i="34"/>
  <c r="H67" i="34"/>
  <c r="H59" i="34"/>
  <c r="H51" i="34"/>
  <c r="H43" i="34"/>
  <c r="H35" i="34"/>
  <c r="H27" i="34"/>
  <c r="H19" i="34"/>
  <c r="H11" i="34"/>
  <c r="I128" i="34"/>
  <c r="I120" i="34"/>
  <c r="I112" i="34"/>
  <c r="I104" i="34"/>
  <c r="I96" i="34"/>
  <c r="I88" i="34"/>
  <c r="I80" i="34"/>
  <c r="I72" i="34"/>
  <c r="I64" i="34"/>
  <c r="I56" i="34"/>
  <c r="I48" i="34"/>
  <c r="I40" i="34"/>
  <c r="I32" i="34"/>
  <c r="I24" i="34"/>
  <c r="I16" i="34"/>
  <c r="I8" i="34"/>
  <c r="H5" i="34"/>
  <c r="H122" i="34"/>
  <c r="H114" i="34"/>
  <c r="H106" i="34"/>
  <c r="H98" i="34"/>
  <c r="H90" i="34"/>
  <c r="H82" i="34"/>
  <c r="H74" i="34"/>
  <c r="H66" i="34"/>
  <c r="H58" i="34"/>
  <c r="H50" i="34"/>
  <c r="H42" i="34"/>
  <c r="H34" i="34"/>
  <c r="H26" i="34"/>
  <c r="H18" i="34"/>
  <c r="H10" i="34"/>
  <c r="I127" i="34"/>
  <c r="I119" i="34"/>
  <c r="I111" i="34"/>
  <c r="I103" i="34"/>
  <c r="I95" i="34"/>
  <c r="I87" i="34"/>
  <c r="I79" i="34"/>
  <c r="I71" i="34"/>
  <c r="I63" i="34"/>
  <c r="I55" i="34"/>
  <c r="I47" i="34"/>
  <c r="I39" i="34"/>
  <c r="I31" i="34"/>
  <c r="I23" i="34"/>
  <c r="I15" i="34"/>
  <c r="I7" i="34"/>
  <c r="H129" i="34"/>
  <c r="H121" i="34"/>
  <c r="H113" i="34"/>
  <c r="H105" i="34"/>
  <c r="H97" i="34"/>
  <c r="H89" i="34"/>
  <c r="H81" i="34"/>
  <c r="H73" i="34"/>
  <c r="H65" i="34"/>
  <c r="H57" i="34"/>
  <c r="H49" i="34"/>
  <c r="H41" i="34"/>
  <c r="H33" i="34"/>
  <c r="H25" i="34"/>
  <c r="H17" i="34"/>
  <c r="H9" i="34"/>
  <c r="I126" i="34"/>
  <c r="I118" i="34"/>
  <c r="I110" i="34"/>
  <c r="I102" i="34"/>
  <c r="I94" i="34"/>
  <c r="I86" i="34"/>
  <c r="I78" i="34"/>
  <c r="I70" i="34"/>
  <c r="I62" i="34"/>
  <c r="I54" i="34"/>
  <c r="I46" i="34"/>
  <c r="I38" i="34"/>
  <c r="I30" i="34"/>
  <c r="I22" i="34"/>
  <c r="I14" i="34"/>
  <c r="I6" i="34"/>
  <c r="H128" i="34"/>
  <c r="H120" i="34"/>
  <c r="H104" i="34"/>
  <c r="H96" i="34"/>
  <c r="H80" i="34"/>
  <c r="H64" i="34"/>
  <c r="H56" i="34"/>
  <c r="H40" i="34"/>
  <c r="H32" i="34"/>
  <c r="H16" i="34"/>
  <c r="I125" i="34"/>
  <c r="I117" i="34"/>
  <c r="I109" i="34"/>
  <c r="I101" i="34"/>
  <c r="I93" i="34"/>
  <c r="I85" i="34"/>
  <c r="I77" i="34"/>
  <c r="I69" i="34"/>
  <c r="I61" i="34"/>
  <c r="I53" i="34"/>
  <c r="I45" i="34"/>
  <c r="I37" i="34"/>
  <c r="I29" i="34"/>
  <c r="I21" i="34"/>
  <c r="AE11" i="29"/>
  <c r="AH12" i="29"/>
  <c r="AE15" i="29"/>
  <c r="AH15" i="29"/>
  <c r="AJ10" i="29"/>
  <c r="AL10" i="29" s="1"/>
  <c r="AE9" i="29"/>
  <c r="AE12" i="29"/>
  <c r="C4" i="4"/>
  <c r="B34" i="32"/>
  <c r="AH14" i="29"/>
  <c r="AM13" i="29"/>
  <c r="E23" i="29" s="1"/>
  <c r="E24" i="29" s="1"/>
  <c r="E25" i="29" s="1"/>
  <c r="E26" i="29" s="1"/>
  <c r="E27" i="29" s="1"/>
  <c r="E28" i="29" s="1"/>
  <c r="E29" i="29" s="1"/>
  <c r="E30" i="29" s="1"/>
  <c r="E31" i="29" s="1"/>
  <c r="E32" i="29" s="1"/>
  <c r="E33" i="29" s="1"/>
  <c r="E34" i="29" s="1"/>
  <c r="E35" i="29" s="1"/>
  <c r="E36" i="29" s="1"/>
  <c r="E37" i="29" s="1"/>
  <c r="E38" i="29" s="1"/>
  <c r="E39" i="29" s="1"/>
  <c r="E40" i="29" s="1"/>
  <c r="E41" i="29" s="1"/>
  <c r="E42" i="29" s="1"/>
  <c r="E43" i="29" s="1"/>
  <c r="E44" i="29" s="1"/>
  <c r="E45" i="29" s="1"/>
  <c r="E46" i="29" s="1"/>
  <c r="E47" i="29" s="1"/>
  <c r="E48" i="29" s="1"/>
  <c r="E49" i="29" s="1"/>
  <c r="E50" i="29" s="1"/>
  <c r="E51" i="29" s="1"/>
  <c r="E52" i="29" s="1"/>
  <c r="E53" i="29" s="1"/>
  <c r="E54" i="29" s="1"/>
  <c r="E55" i="29" s="1"/>
  <c r="E56" i="29" s="1"/>
  <c r="E57" i="29" s="1"/>
  <c r="E58" i="29" s="1"/>
  <c r="E59" i="29" s="1"/>
  <c r="E60" i="29" s="1"/>
  <c r="E61" i="29" s="1"/>
  <c r="E62" i="29" s="1"/>
  <c r="E63" i="29" s="1"/>
  <c r="E64" i="29" s="1"/>
  <c r="E65" i="29" s="1"/>
  <c r="E66" i="29" s="1"/>
  <c r="E67" i="29" s="1"/>
  <c r="E68" i="29" s="1"/>
  <c r="E69" i="29" s="1"/>
  <c r="E70" i="29" s="1"/>
  <c r="E71" i="29" s="1"/>
  <c r="E72" i="29" s="1"/>
  <c r="E73" i="29" s="1"/>
  <c r="E74" i="29" s="1"/>
  <c r="E75" i="29" s="1"/>
  <c r="E76" i="29" s="1"/>
  <c r="E77" i="29" s="1"/>
  <c r="E78" i="29" s="1"/>
  <c r="E79" i="29" s="1"/>
  <c r="E80" i="29" s="1"/>
  <c r="E81" i="29" s="1"/>
  <c r="E82" i="29" s="1"/>
  <c r="E83" i="29" s="1"/>
  <c r="E84" i="29" s="1"/>
  <c r="E85" i="29" s="1"/>
  <c r="E86" i="29" s="1"/>
  <c r="E87" i="29" s="1"/>
  <c r="E88" i="29" s="1"/>
  <c r="E89" i="29" s="1"/>
  <c r="E90" i="29" s="1"/>
  <c r="E91" i="29" s="1"/>
  <c r="E92" i="29" s="1"/>
  <c r="E93" i="29" s="1"/>
  <c r="E94" i="29" s="1"/>
  <c r="E95" i="29" s="1"/>
  <c r="E96" i="29" s="1"/>
  <c r="E97" i="29" s="1"/>
  <c r="E98" i="29" s="1"/>
  <c r="E99" i="29" s="1"/>
  <c r="E100" i="29" s="1"/>
  <c r="E101" i="29" s="1"/>
  <c r="E102" i="29" s="1"/>
  <c r="E103" i="29" s="1"/>
  <c r="E104" i="29" s="1"/>
  <c r="E105" i="29" s="1"/>
  <c r="E106" i="29" s="1"/>
  <c r="E107" i="29" s="1"/>
  <c r="E108" i="29" s="1"/>
  <c r="E109" i="29" s="1"/>
  <c r="E110" i="29" s="1"/>
  <c r="E111" i="29" s="1"/>
  <c r="E112" i="29" s="1"/>
  <c r="E113" i="29" s="1"/>
  <c r="E114" i="29" s="1"/>
  <c r="E115" i="29" s="1"/>
  <c r="E116" i="29" s="1"/>
  <c r="E117" i="29" s="1"/>
  <c r="E118" i="29" s="1"/>
  <c r="E119" i="29" s="1"/>
  <c r="E120" i="29" s="1"/>
  <c r="E121" i="29" s="1"/>
  <c r="E122" i="29" s="1"/>
  <c r="E123" i="29" s="1"/>
  <c r="E124" i="29" s="1"/>
  <c r="E125" i="29" s="1"/>
  <c r="E126" i="29" s="1"/>
  <c r="E127" i="29" s="1"/>
  <c r="E128" i="29" s="1"/>
  <c r="E129" i="29" s="1"/>
  <c r="E130" i="29" s="1"/>
  <c r="E131" i="29" s="1"/>
  <c r="E132" i="29" s="1"/>
  <c r="E133" i="29" s="1"/>
  <c r="E134" i="29" s="1"/>
  <c r="E135" i="29" s="1"/>
  <c r="E136" i="29" s="1"/>
  <c r="E137" i="29" s="1"/>
  <c r="E138" i="29" s="1"/>
  <c r="E139" i="29" s="1"/>
  <c r="E140" i="29" s="1"/>
  <c r="E141" i="29" s="1"/>
  <c r="E142" i="29" s="1"/>
  <c r="E143" i="29" s="1"/>
  <c r="E144" i="29" s="1"/>
  <c r="E145" i="29" s="1"/>
  <c r="E146" i="29" s="1"/>
  <c r="E147" i="29" s="1"/>
  <c r="AH7" i="29"/>
  <c r="AE8" i="29"/>
  <c r="AH8" i="29"/>
  <c r="AH10" i="29"/>
  <c r="AJ9" i="29"/>
  <c r="AL9" i="29" s="1"/>
  <c r="AE14" i="29"/>
  <c r="O23" i="29" l="1"/>
  <c r="M23" i="29"/>
  <c r="N23" i="29" s="1"/>
  <c r="D8" i="29"/>
  <c r="C5" i="32"/>
  <c r="D5" i="32" s="1"/>
  <c r="D13" i="25"/>
  <c r="C23" i="32"/>
  <c r="K23" i="29"/>
  <c r="L23" i="29" s="1"/>
  <c r="M85" i="29" l="1"/>
  <c r="O85" i="29"/>
  <c r="M104" i="29"/>
  <c r="O104" i="29"/>
  <c r="M40" i="29"/>
  <c r="O40" i="29"/>
  <c r="O42" i="29"/>
  <c r="M42" i="29"/>
  <c r="N42" i="29" s="1"/>
  <c r="O68" i="29"/>
  <c r="M68" i="29"/>
  <c r="M79" i="29"/>
  <c r="O79" i="29"/>
  <c r="P79" i="29" s="1"/>
  <c r="O50" i="29"/>
  <c r="M50" i="29"/>
  <c r="M94" i="29"/>
  <c r="N94" i="29" s="1"/>
  <c r="O94" i="29"/>
  <c r="P94" i="29" s="1"/>
  <c r="O84" i="29"/>
  <c r="M84" i="29"/>
  <c r="M135" i="29"/>
  <c r="O135" i="29"/>
  <c r="M118" i="29"/>
  <c r="N118" i="29" s="1"/>
  <c r="O118" i="29"/>
  <c r="M120" i="29"/>
  <c r="N120" i="29" s="1"/>
  <c r="O120" i="29"/>
  <c r="P120" i="29" s="1"/>
  <c r="M137" i="29"/>
  <c r="O137" i="29"/>
  <c r="M56" i="29"/>
  <c r="O56" i="29"/>
  <c r="O28" i="29"/>
  <c r="P28" i="29" s="1"/>
  <c r="M28" i="29"/>
  <c r="M80" i="29"/>
  <c r="N80" i="29" s="1"/>
  <c r="O80" i="29"/>
  <c r="P80" i="29" s="1"/>
  <c r="O116" i="29"/>
  <c r="M116" i="29"/>
  <c r="M41" i="29"/>
  <c r="O41" i="29"/>
  <c r="P41" i="29" s="1"/>
  <c r="M87" i="29"/>
  <c r="O87" i="29"/>
  <c r="M121" i="29"/>
  <c r="N121" i="29" s="1"/>
  <c r="O121" i="29"/>
  <c r="P121" i="29" s="1"/>
  <c r="M88" i="29"/>
  <c r="O88" i="29"/>
  <c r="M143" i="29"/>
  <c r="O143" i="29"/>
  <c r="O122" i="29"/>
  <c r="P122" i="29" s="1"/>
  <c r="M122" i="29"/>
  <c r="O124" i="29"/>
  <c r="P124" i="29" s="1"/>
  <c r="M124" i="29"/>
  <c r="N124" i="29" s="1"/>
  <c r="M141" i="29"/>
  <c r="O141" i="29"/>
  <c r="O44" i="29"/>
  <c r="M44" i="29"/>
  <c r="N44" i="29" s="1"/>
  <c r="O27" i="29"/>
  <c r="P27" i="29" s="1"/>
  <c r="M27" i="29"/>
  <c r="M46" i="29"/>
  <c r="O46" i="29"/>
  <c r="P46" i="29" s="1"/>
  <c r="O114" i="29"/>
  <c r="M114" i="29"/>
  <c r="M49" i="29"/>
  <c r="O49" i="29"/>
  <c r="M48" i="29"/>
  <c r="O48" i="29"/>
  <c r="O59" i="29"/>
  <c r="P59" i="29" s="1"/>
  <c r="M59" i="29"/>
  <c r="N59" i="29" s="1"/>
  <c r="M54" i="29"/>
  <c r="O54" i="29"/>
  <c r="M78" i="29"/>
  <c r="O78" i="29"/>
  <c r="P78" i="29" s="1"/>
  <c r="M39" i="29"/>
  <c r="O39" i="29"/>
  <c r="O58" i="29"/>
  <c r="P58" i="29" s="1"/>
  <c r="M58" i="29"/>
  <c r="N58" i="29" s="1"/>
  <c r="O90" i="29"/>
  <c r="M90" i="29"/>
  <c r="M126" i="29"/>
  <c r="O126" i="29"/>
  <c r="P126" i="29" s="1"/>
  <c r="O34" i="29"/>
  <c r="M34" i="29"/>
  <c r="M55" i="29"/>
  <c r="N55" i="29" s="1"/>
  <c r="O55" i="29"/>
  <c r="P55" i="29" s="1"/>
  <c r="M93" i="29"/>
  <c r="O93" i="29"/>
  <c r="O107" i="29"/>
  <c r="M107" i="29"/>
  <c r="N107" i="29" s="1"/>
  <c r="M101" i="29"/>
  <c r="O101" i="29"/>
  <c r="O43" i="29"/>
  <c r="P43" i="29" s="1"/>
  <c r="M43" i="29"/>
  <c r="N43" i="29" s="1"/>
  <c r="M52" i="29"/>
  <c r="O52" i="29"/>
  <c r="M61" i="29"/>
  <c r="O61" i="29"/>
  <c r="M117" i="29"/>
  <c r="O117" i="29"/>
  <c r="M127" i="29"/>
  <c r="N127" i="29" s="1"/>
  <c r="O127" i="29"/>
  <c r="P127" i="29" s="1"/>
  <c r="M103" i="29"/>
  <c r="O103" i="29"/>
  <c r="M136" i="29"/>
  <c r="O136" i="29"/>
  <c r="M134" i="29"/>
  <c r="N134" i="29" s="1"/>
  <c r="O134" i="29"/>
  <c r="O92" i="29"/>
  <c r="M92" i="29"/>
  <c r="N92" i="29" s="1"/>
  <c r="M64" i="29"/>
  <c r="O64" i="29"/>
  <c r="O146" i="29"/>
  <c r="M146" i="29"/>
  <c r="N146" i="29" s="1"/>
  <c r="M37" i="29"/>
  <c r="N37" i="29" s="1"/>
  <c r="O37" i="29"/>
  <c r="M29" i="29"/>
  <c r="N29" i="29" s="1"/>
  <c r="O29" i="29"/>
  <c r="P29" i="29" s="1"/>
  <c r="O81" i="29"/>
  <c r="M81" i="29"/>
  <c r="O36" i="29"/>
  <c r="M36" i="29"/>
  <c r="N36" i="29" s="1"/>
  <c r="M73" i="29"/>
  <c r="N73" i="29" s="1"/>
  <c r="O73" i="29"/>
  <c r="O100" i="29"/>
  <c r="P100" i="29" s="1"/>
  <c r="M100" i="29"/>
  <c r="N100" i="29" s="1"/>
  <c r="O99" i="29"/>
  <c r="M99" i="29"/>
  <c r="M145" i="29"/>
  <c r="O145" i="29"/>
  <c r="P145" i="29" s="1"/>
  <c r="M113" i="29"/>
  <c r="O113" i="29"/>
  <c r="M125" i="29"/>
  <c r="N125" i="29" s="1"/>
  <c r="O125" i="29"/>
  <c r="P125" i="29" s="1"/>
  <c r="M62" i="29"/>
  <c r="O62" i="29"/>
  <c r="O132" i="29"/>
  <c r="M132" i="29"/>
  <c r="N132" i="29" s="1"/>
  <c r="M25" i="29"/>
  <c r="N25" i="29" s="1"/>
  <c r="O25" i="29"/>
  <c r="O82" i="29"/>
  <c r="P82" i="29" s="1"/>
  <c r="M82" i="29"/>
  <c r="N82" i="29" s="1"/>
  <c r="O66" i="29"/>
  <c r="M66" i="29"/>
  <c r="O123" i="29"/>
  <c r="M123" i="29"/>
  <c r="M102" i="29"/>
  <c r="N102" i="29" s="1"/>
  <c r="O102" i="29"/>
  <c r="M33" i="29"/>
  <c r="N33" i="29" s="1"/>
  <c r="O33" i="29"/>
  <c r="P33" i="29" s="1"/>
  <c r="M70" i="29"/>
  <c r="O70" i="29"/>
  <c r="M133" i="29"/>
  <c r="O133" i="29"/>
  <c r="P133" i="29" s="1"/>
  <c r="M65" i="29"/>
  <c r="N65" i="29" s="1"/>
  <c r="O65" i="29"/>
  <c r="M31" i="29"/>
  <c r="N31" i="29" s="1"/>
  <c r="O31" i="29"/>
  <c r="P31" i="29" s="1"/>
  <c r="M63" i="29"/>
  <c r="O63" i="29"/>
  <c r="O35" i="29"/>
  <c r="M35" i="29"/>
  <c r="N35" i="29" s="1"/>
  <c r="M53" i="29"/>
  <c r="N53" i="29" s="1"/>
  <c r="O53" i="29"/>
  <c r="M47" i="29"/>
  <c r="N47" i="29" s="1"/>
  <c r="O47" i="29"/>
  <c r="P47" i="29" s="1"/>
  <c r="O89" i="29"/>
  <c r="M89" i="29"/>
  <c r="O139" i="29"/>
  <c r="M139" i="29"/>
  <c r="M128" i="29"/>
  <c r="O128" i="29"/>
  <c r="M24" i="29"/>
  <c r="N24" i="29" s="1"/>
  <c r="O24" i="29"/>
  <c r="P24" i="29" s="1"/>
  <c r="M38" i="29"/>
  <c r="O38" i="29"/>
  <c r="O51" i="29"/>
  <c r="M51" i="29"/>
  <c r="N51" i="29" s="1"/>
  <c r="O106" i="29"/>
  <c r="P106" i="29" s="1"/>
  <c r="M106" i="29"/>
  <c r="M97" i="29"/>
  <c r="N97" i="29" s="1"/>
  <c r="O97" i="29"/>
  <c r="P97" i="29" s="1"/>
  <c r="M95" i="29"/>
  <c r="O95" i="29"/>
  <c r="O130" i="29"/>
  <c r="M130" i="29"/>
  <c r="O74" i="29"/>
  <c r="P74" i="29" s="1"/>
  <c r="M74" i="29"/>
  <c r="M71" i="29"/>
  <c r="N71" i="29" s="1"/>
  <c r="O71" i="29"/>
  <c r="P71" i="29" s="1"/>
  <c r="O115" i="29"/>
  <c r="M115" i="29"/>
  <c r="M111" i="29"/>
  <c r="O111" i="29"/>
  <c r="O131" i="29"/>
  <c r="P131" i="29" s="1"/>
  <c r="M131" i="29"/>
  <c r="M45" i="29"/>
  <c r="N45" i="29" s="1"/>
  <c r="O45" i="29"/>
  <c r="P45" i="29" s="1"/>
  <c r="O26" i="29"/>
  <c r="M26" i="29"/>
  <c r="M86" i="29"/>
  <c r="O86" i="29"/>
  <c r="P86" i="29" s="1"/>
  <c r="M57" i="29"/>
  <c r="N57" i="29" s="1"/>
  <c r="O57" i="29"/>
  <c r="O83" i="29"/>
  <c r="P83" i="29" s="1"/>
  <c r="M83" i="29"/>
  <c r="N83" i="29" s="1"/>
  <c r="O91" i="29"/>
  <c r="M91" i="29"/>
  <c r="O147" i="29"/>
  <c r="M147" i="29"/>
  <c r="M109" i="29"/>
  <c r="N109" i="29" s="1"/>
  <c r="O109" i="29"/>
  <c r="O75" i="29"/>
  <c r="P75" i="29" s="1"/>
  <c r="M75" i="29"/>
  <c r="N75" i="29" s="1"/>
  <c r="M72" i="29"/>
  <c r="O72" i="29"/>
  <c r="M129" i="29"/>
  <c r="O129" i="29"/>
  <c r="P129" i="29" s="1"/>
  <c r="M108" i="29"/>
  <c r="O108" i="29"/>
  <c r="M140" i="29"/>
  <c r="N140" i="29" s="1"/>
  <c r="O140" i="29"/>
  <c r="P140" i="29" s="1"/>
  <c r="O138" i="29"/>
  <c r="M138" i="29"/>
  <c r="O67" i="29"/>
  <c r="M67" i="29"/>
  <c r="N67" i="29" s="1"/>
  <c r="M30" i="29"/>
  <c r="N30" i="29" s="1"/>
  <c r="O30" i="29"/>
  <c r="M32" i="29"/>
  <c r="O32" i="29"/>
  <c r="M105" i="29"/>
  <c r="O105" i="29"/>
  <c r="O98" i="29"/>
  <c r="M98" i="29"/>
  <c r="N98" i="29" s="1"/>
  <c r="O60" i="29"/>
  <c r="P60" i="29" s="1"/>
  <c r="M60" i="29"/>
  <c r="M69" i="29"/>
  <c r="N69" i="29" s="1"/>
  <c r="O69" i="29"/>
  <c r="P69" i="29" s="1"/>
  <c r="M119" i="29"/>
  <c r="O119" i="29"/>
  <c r="M77" i="29"/>
  <c r="O77" i="29"/>
  <c r="P77" i="29" s="1"/>
  <c r="O76" i="29"/>
  <c r="P76" i="29" s="1"/>
  <c r="M76" i="29"/>
  <c r="M96" i="29"/>
  <c r="N96" i="29" s="1"/>
  <c r="O96" i="29"/>
  <c r="P96" i="29" s="1"/>
  <c r="M110" i="29"/>
  <c r="O110" i="29"/>
  <c r="M112" i="29"/>
  <c r="O112" i="29"/>
  <c r="P112" i="29" s="1"/>
  <c r="M144" i="29"/>
  <c r="N144" i="29" s="1"/>
  <c r="O144" i="29"/>
  <c r="M142" i="29"/>
  <c r="N142" i="29" s="1"/>
  <c r="O142" i="29"/>
  <c r="P142" i="29" s="1"/>
  <c r="D9" i="29"/>
  <c r="P48" i="29"/>
  <c r="N48" i="29"/>
  <c r="P65" i="29"/>
  <c r="P49" i="29"/>
  <c r="N49" i="29"/>
  <c r="P37" i="29"/>
  <c r="P42" i="29"/>
  <c r="N68" i="29"/>
  <c r="P68" i="29"/>
  <c r="N79" i="29"/>
  <c r="P50" i="29"/>
  <c r="N50" i="29"/>
  <c r="N84" i="29"/>
  <c r="P84" i="29"/>
  <c r="P135" i="29"/>
  <c r="N135" i="29"/>
  <c r="P118" i="29"/>
  <c r="P137" i="29"/>
  <c r="N137" i="29"/>
  <c r="P53" i="29"/>
  <c r="P63" i="29"/>
  <c r="N63" i="29"/>
  <c r="N41" i="29"/>
  <c r="P35" i="29"/>
  <c r="P81" i="29"/>
  <c r="N81" i="29"/>
  <c r="P87" i="29"/>
  <c r="N87" i="29"/>
  <c r="N54" i="29"/>
  <c r="P54" i="29"/>
  <c r="N88" i="29"/>
  <c r="P88" i="29"/>
  <c r="P143" i="29"/>
  <c r="N143" i="29"/>
  <c r="N122" i="29"/>
  <c r="P141" i="29"/>
  <c r="N141" i="29"/>
  <c r="P34" i="29"/>
  <c r="N34" i="29"/>
  <c r="P23" i="29"/>
  <c r="P36" i="29"/>
  <c r="N78" i="29"/>
  <c r="P73" i="29"/>
  <c r="P39" i="29"/>
  <c r="N39" i="29"/>
  <c r="N89" i="29"/>
  <c r="P89" i="29"/>
  <c r="P139" i="29"/>
  <c r="N139" i="29"/>
  <c r="P99" i="29"/>
  <c r="N99" i="29"/>
  <c r="N90" i="29"/>
  <c r="P90" i="29"/>
  <c r="N126" i="29"/>
  <c r="P128" i="29"/>
  <c r="N128" i="29"/>
  <c r="N145" i="29"/>
  <c r="P113" i="29"/>
  <c r="N113" i="29"/>
  <c r="P38" i="29"/>
  <c r="N38" i="29"/>
  <c r="P51" i="29"/>
  <c r="P93" i="29"/>
  <c r="N93" i="29"/>
  <c r="N106" i="29"/>
  <c r="N62" i="29"/>
  <c r="P62" i="29"/>
  <c r="P107" i="29"/>
  <c r="P95" i="29"/>
  <c r="N95" i="29"/>
  <c r="N101" i="29"/>
  <c r="P101" i="29"/>
  <c r="P132" i="29"/>
  <c r="N130" i="29"/>
  <c r="P130" i="29"/>
  <c r="P25" i="29"/>
  <c r="N74" i="29"/>
  <c r="P52" i="29"/>
  <c r="N52" i="29"/>
  <c r="P61" i="29"/>
  <c r="N61" i="29"/>
  <c r="P115" i="29"/>
  <c r="N115" i="29"/>
  <c r="P117" i="29"/>
  <c r="N117" i="29"/>
  <c r="N66" i="29"/>
  <c r="P66" i="29"/>
  <c r="P111" i="29"/>
  <c r="N111" i="29"/>
  <c r="P103" i="29"/>
  <c r="N103" i="29"/>
  <c r="N131" i="29"/>
  <c r="N136" i="29"/>
  <c r="P136" i="29"/>
  <c r="P134" i="29"/>
  <c r="P67" i="29"/>
  <c r="P26" i="29"/>
  <c r="N26" i="29"/>
  <c r="N86" i="29"/>
  <c r="P57" i="29"/>
  <c r="P123" i="29"/>
  <c r="N123" i="29"/>
  <c r="P91" i="29"/>
  <c r="N91" i="29"/>
  <c r="P147" i="29"/>
  <c r="N147" i="29"/>
  <c r="P109" i="29"/>
  <c r="P72" i="29"/>
  <c r="N72" i="29"/>
  <c r="N129" i="29"/>
  <c r="P102" i="29"/>
  <c r="N108" i="29"/>
  <c r="P108" i="29"/>
  <c r="P138" i="29"/>
  <c r="N138" i="29"/>
  <c r="P92" i="29"/>
  <c r="P30" i="29"/>
  <c r="N105" i="29"/>
  <c r="P105" i="29"/>
  <c r="P98" i="29"/>
  <c r="N60" i="29"/>
  <c r="P119" i="29"/>
  <c r="N119" i="29"/>
  <c r="N77" i="29"/>
  <c r="N76" i="29"/>
  <c r="N110" i="29"/>
  <c r="P110" i="29"/>
  <c r="N112" i="29"/>
  <c r="P144" i="29"/>
  <c r="P40" i="29"/>
  <c r="N40" i="29"/>
  <c r="P56" i="29"/>
  <c r="N56" i="29"/>
  <c r="P44" i="29"/>
  <c r="N27" i="29"/>
  <c r="N28" i="29"/>
  <c r="P64" i="29"/>
  <c r="N64" i="29"/>
  <c r="N70" i="29"/>
  <c r="P70" i="29"/>
  <c r="N46" i="29"/>
  <c r="P85" i="29"/>
  <c r="N85" i="29"/>
  <c r="N104" i="29"/>
  <c r="P104" i="29"/>
  <c r="P114" i="29"/>
  <c r="N114" i="29"/>
  <c r="P116" i="29"/>
  <c r="N116" i="29"/>
  <c r="N133" i="29"/>
  <c r="P146" i="29"/>
  <c r="K24" i="29" l="1"/>
  <c r="L24" i="29" s="1"/>
  <c r="Q23" i="29"/>
  <c r="R23" i="29" s="1"/>
  <c r="N32" i="29"/>
  <c r="D11" i="29"/>
  <c r="P32" i="29"/>
  <c r="D12" i="29"/>
  <c r="K25" i="29" l="1"/>
  <c r="L25" i="29" s="1"/>
  <c r="Q24" i="29"/>
  <c r="R24" i="29" s="1"/>
  <c r="K26" i="29" l="1"/>
  <c r="L26" i="29" s="1"/>
  <c r="Q25" i="29"/>
  <c r="R25" i="29" s="1"/>
  <c r="Q26" i="29" l="1"/>
  <c r="R26" i="29" s="1"/>
  <c r="K27" i="29"/>
  <c r="L27" i="29" s="1"/>
  <c r="Q27" i="29" l="1"/>
  <c r="R27" i="29" s="1"/>
  <c r="K28" i="29"/>
  <c r="L28" i="29" s="1"/>
  <c r="Q28" i="29" l="1"/>
  <c r="R28" i="29" s="1"/>
  <c r="K29" i="29"/>
  <c r="L29" i="29" s="1"/>
  <c r="Q29" i="29" l="1"/>
  <c r="R29" i="29" s="1"/>
  <c r="K30" i="29"/>
  <c r="L30" i="29" s="1"/>
  <c r="Q30" i="29" l="1"/>
  <c r="R30" i="29" s="1"/>
  <c r="K31" i="29"/>
  <c r="L31" i="29" s="1"/>
  <c r="K32" i="29" l="1"/>
  <c r="Q31" i="29"/>
  <c r="R31" i="29" s="1"/>
  <c r="L32" i="29" l="1"/>
  <c r="K33" i="29"/>
  <c r="L33" i="29" s="1"/>
  <c r="K34" i="29" l="1"/>
  <c r="L34" i="29" s="1"/>
  <c r="Q33" i="29"/>
  <c r="R33" i="29" s="1"/>
  <c r="Q32" i="29"/>
  <c r="R32" i="29" s="1"/>
  <c r="Q34" i="29" l="1"/>
  <c r="R34" i="29" s="1"/>
  <c r="K35" i="29"/>
  <c r="L35" i="29" l="1"/>
  <c r="Q35" i="29" s="1"/>
  <c r="R35" i="29" s="1"/>
  <c r="K36" i="29"/>
  <c r="L36" i="29" s="1"/>
  <c r="K37" i="29" l="1"/>
  <c r="L37" i="29" s="1"/>
  <c r="Q36" i="29"/>
  <c r="R36" i="29" s="1"/>
  <c r="K38" i="29" l="1"/>
  <c r="L38" i="29" s="1"/>
  <c r="Q37" i="29"/>
  <c r="R37" i="29" s="1"/>
  <c r="Q38" i="29" l="1"/>
  <c r="R38" i="29" s="1"/>
  <c r="K39" i="29"/>
  <c r="L39" i="29" l="1"/>
  <c r="Q39" i="29"/>
  <c r="R39" i="29" s="1"/>
  <c r="K40" i="29"/>
  <c r="L40" i="29" s="1"/>
  <c r="V40" i="29" l="1"/>
  <c r="Q40" i="29"/>
  <c r="R40" i="29" s="1"/>
  <c r="K41" i="29"/>
  <c r="L41" i="29" s="1"/>
  <c r="K42" i="29" l="1"/>
  <c r="L42" i="29" s="1"/>
  <c r="Q41" i="29"/>
  <c r="R41" i="29" s="1"/>
  <c r="V41" i="29"/>
  <c r="K43" i="29" l="1"/>
  <c r="L43" i="29" s="1"/>
  <c r="V42" i="29"/>
  <c r="Q42" i="29"/>
  <c r="R42" i="29" s="1"/>
  <c r="K44" i="29" l="1"/>
  <c r="L44" i="29" s="1"/>
  <c r="Q43" i="29"/>
  <c r="R43" i="29" s="1"/>
  <c r="V43" i="29"/>
  <c r="V44" i="29" l="1"/>
  <c r="Q44" i="29"/>
  <c r="R44" i="29" s="1"/>
  <c r="K45" i="29"/>
  <c r="L45" i="29" s="1"/>
  <c r="Q45" i="29" l="1"/>
  <c r="R45" i="29"/>
  <c r="V45" i="29"/>
  <c r="W46" i="29" s="1"/>
  <c r="K46" i="29"/>
  <c r="L46" i="29" s="1"/>
  <c r="D28" i="34" l="1"/>
  <c r="W47" i="29"/>
  <c r="K47" i="29"/>
  <c r="L47" i="29" s="1"/>
  <c r="V46" i="29"/>
  <c r="Q46" i="29"/>
  <c r="R46" i="29" s="1"/>
  <c r="D29" i="34" l="1"/>
  <c r="W48" i="29"/>
  <c r="V47" i="29"/>
  <c r="Q47" i="29"/>
  <c r="R47" i="29" s="1"/>
  <c r="K48" i="29"/>
  <c r="L48" i="29" s="1"/>
  <c r="D30" i="34" l="1"/>
  <c r="W49" i="29"/>
  <c r="K49" i="29"/>
  <c r="L49" i="29" s="1"/>
  <c r="V48" i="29"/>
  <c r="Q48" i="29"/>
  <c r="R48" i="29" s="1"/>
  <c r="D31" i="34" l="1"/>
  <c r="W50" i="29"/>
  <c r="D32" i="34" s="1"/>
  <c r="K50" i="29"/>
  <c r="L50" i="29" s="1"/>
  <c r="Q49" i="29"/>
  <c r="R49" i="29" s="1"/>
  <c r="V49" i="29"/>
  <c r="Q50" i="29" l="1"/>
  <c r="R50" i="29" s="1"/>
  <c r="V50" i="29"/>
  <c r="W51" i="29" s="1"/>
  <c r="K51" i="29"/>
  <c r="L51" i="29" s="1"/>
  <c r="D33" i="34" l="1"/>
  <c r="W52" i="29"/>
  <c r="V51" i="29"/>
  <c r="Q51" i="29"/>
  <c r="R51" i="29" s="1"/>
  <c r="K52" i="29"/>
  <c r="L52" i="29" s="1"/>
  <c r="D34" i="34" l="1"/>
  <c r="W53" i="29"/>
  <c r="K53" i="29"/>
  <c r="L53" i="29" s="1"/>
  <c r="V52" i="29"/>
  <c r="Q52" i="29"/>
  <c r="R52" i="29" s="1"/>
  <c r="D35" i="34" l="1"/>
  <c r="W54" i="29"/>
  <c r="K54" i="29"/>
  <c r="L54" i="29" s="1"/>
  <c r="Q53" i="29"/>
  <c r="R53" i="29" s="1"/>
  <c r="V53" i="29"/>
  <c r="D36" i="34" l="1"/>
  <c r="W55" i="29"/>
  <c r="D37" i="34" s="1"/>
  <c r="V54" i="29"/>
  <c r="Q54" i="29"/>
  <c r="R54" i="29" s="1"/>
  <c r="K55" i="29"/>
  <c r="L55" i="29" s="1"/>
  <c r="K56" i="29" l="1"/>
  <c r="L56" i="29" s="1"/>
  <c r="V55" i="29"/>
  <c r="W56" i="29" s="1"/>
  <c r="Q55" i="29"/>
  <c r="R55" i="29" s="1"/>
  <c r="D38" i="34" l="1"/>
  <c r="W57" i="29"/>
  <c r="K57" i="29"/>
  <c r="L57" i="29" s="1"/>
  <c r="V56" i="29"/>
  <c r="Q56" i="29"/>
  <c r="R56" i="29" s="1"/>
  <c r="D39" i="34" l="1"/>
  <c r="W58" i="29"/>
  <c r="K58" i="29"/>
  <c r="L58" i="29" s="1"/>
  <c r="Q57" i="29"/>
  <c r="R57" i="29" s="1"/>
  <c r="V57" i="29"/>
  <c r="D40" i="34" l="1"/>
  <c r="W59" i="29"/>
  <c r="K59" i="29"/>
  <c r="L59" i="29" s="1"/>
  <c r="Q58" i="29"/>
  <c r="R58" i="29" s="1"/>
  <c r="V58" i="29"/>
  <c r="D41" i="34" l="1"/>
  <c r="W60" i="29"/>
  <c r="D42" i="34" s="1"/>
  <c r="V59" i="29"/>
  <c r="Q59" i="29"/>
  <c r="R59" i="29" s="1"/>
  <c r="K60" i="29"/>
  <c r="L60" i="29" s="1"/>
  <c r="K61" i="29" l="1"/>
  <c r="L61" i="29" s="1"/>
  <c r="V60" i="29"/>
  <c r="W61" i="29" s="1"/>
  <c r="Q60" i="29"/>
  <c r="R60" i="29" s="1"/>
  <c r="D43" i="34" l="1"/>
  <c r="W62" i="29"/>
  <c r="Q61" i="29"/>
  <c r="R61" i="29" s="1"/>
  <c r="V61" i="29"/>
  <c r="K62" i="29"/>
  <c r="L62" i="29" s="1"/>
  <c r="D44" i="34" l="1"/>
  <c r="W63" i="29"/>
  <c r="D45" i="34" s="1"/>
  <c r="K63" i="29"/>
  <c r="L63" i="29" s="1"/>
  <c r="Q62" i="29"/>
  <c r="R62" i="29" s="1"/>
  <c r="V62" i="29"/>
  <c r="V63" i="29" l="1"/>
  <c r="W64" i="29" s="1"/>
  <c r="Q63" i="29"/>
  <c r="R63" i="29" s="1"/>
  <c r="K64" i="29"/>
  <c r="L64" i="29" s="1"/>
  <c r="D46" i="34" l="1"/>
  <c r="W65" i="29"/>
  <c r="D47" i="34" s="1"/>
  <c r="W66" i="29"/>
  <c r="D48" i="34" s="1"/>
  <c r="K65" i="29"/>
  <c r="L65" i="29" s="1"/>
  <c r="Q64" i="29"/>
  <c r="R64" i="29" s="1"/>
  <c r="V64" i="29"/>
  <c r="W67" i="29" l="1"/>
  <c r="D49" i="34" s="1"/>
  <c r="W68" i="29"/>
  <c r="D50" i="34" s="1"/>
  <c r="K66" i="29"/>
  <c r="L66" i="29" s="1"/>
  <c r="Q65" i="29"/>
  <c r="R65" i="29" s="1"/>
  <c r="V65" i="29"/>
  <c r="K67" i="29" l="1"/>
  <c r="L67" i="29" s="1"/>
  <c r="V66" i="29"/>
  <c r="Q66" i="29"/>
  <c r="R66" i="29" s="1"/>
  <c r="K68" i="29" l="1"/>
  <c r="L68" i="29" s="1"/>
  <c r="V67" i="29"/>
  <c r="Q67" i="29"/>
  <c r="R67" i="29" s="1"/>
  <c r="K69" i="29" l="1"/>
  <c r="L69" i="29" s="1"/>
  <c r="Q68" i="29"/>
  <c r="V68" i="29"/>
  <c r="W69" i="29" s="1"/>
  <c r="R68" i="29"/>
  <c r="D51" i="34" l="1"/>
  <c r="W70" i="29"/>
  <c r="V69" i="29"/>
  <c r="Q69" i="29"/>
  <c r="R69" i="29" s="1"/>
  <c r="K70" i="29"/>
  <c r="L70" i="29" s="1"/>
  <c r="D52" i="34" l="1"/>
  <c r="W71" i="29"/>
  <c r="K71" i="29"/>
  <c r="L71" i="29" s="1"/>
  <c r="Q70" i="29"/>
  <c r="R70" i="29" s="1"/>
  <c r="V70" i="29"/>
  <c r="D53" i="34" l="1"/>
  <c r="W72" i="29"/>
  <c r="Q71" i="29"/>
  <c r="R71" i="29" s="1"/>
  <c r="V71" i="29"/>
  <c r="K72" i="29"/>
  <c r="L72" i="29" s="1"/>
  <c r="D54" i="34" l="1"/>
  <c r="W73" i="29"/>
  <c r="D55" i="34" s="1"/>
  <c r="Q72" i="29"/>
  <c r="R72" i="29" s="1"/>
  <c r="V72" i="29"/>
  <c r="K73" i="29"/>
  <c r="L73" i="29" s="1"/>
  <c r="V73" i="29" l="1"/>
  <c r="W74" i="29" s="1"/>
  <c r="Q73" i="29"/>
  <c r="R73" i="29" s="1"/>
  <c r="K74" i="29"/>
  <c r="L74" i="29" s="1"/>
  <c r="D56" i="34" l="1"/>
  <c r="W75" i="29"/>
  <c r="K75" i="29"/>
  <c r="L75" i="29" s="1"/>
  <c r="Q74" i="29"/>
  <c r="V74" i="29"/>
  <c r="R74" i="29"/>
  <c r="D57" i="34" l="1"/>
  <c r="W76" i="29"/>
  <c r="Q75" i="29"/>
  <c r="R75" i="29" s="1"/>
  <c r="V75" i="29"/>
  <c r="K76" i="29"/>
  <c r="L76" i="29" s="1"/>
  <c r="D58" i="34" l="1"/>
  <c r="W77" i="29"/>
  <c r="K77" i="29"/>
  <c r="L77" i="29" s="1"/>
  <c r="V76" i="29"/>
  <c r="Q76" i="29"/>
  <c r="R76" i="29" s="1"/>
  <c r="D59" i="34" l="1"/>
  <c r="W78" i="29"/>
  <c r="D60" i="34" s="1"/>
  <c r="V77" i="29"/>
  <c r="Q77" i="29"/>
  <c r="R77" i="29" s="1"/>
  <c r="K78" i="29"/>
  <c r="L78" i="29" s="1"/>
  <c r="V78" i="29" l="1"/>
  <c r="W79" i="29" s="1"/>
  <c r="Q78" i="29"/>
  <c r="R78" i="29" s="1"/>
  <c r="K79" i="29"/>
  <c r="L79" i="29" s="1"/>
  <c r="D61" i="34" l="1"/>
  <c r="W80" i="29"/>
  <c r="Q79" i="29"/>
  <c r="R79" i="29" s="1"/>
  <c r="V79" i="29"/>
  <c r="K80" i="29"/>
  <c r="L80" i="29" s="1"/>
  <c r="D62" i="34" l="1"/>
  <c r="W81" i="29"/>
  <c r="K81" i="29"/>
  <c r="L81" i="29" s="1"/>
  <c r="V80" i="29"/>
  <c r="Q80" i="29"/>
  <c r="R80" i="29" s="1"/>
  <c r="D63" i="34" l="1"/>
  <c r="W82" i="29"/>
  <c r="V81" i="29"/>
  <c r="Q81" i="29"/>
  <c r="R81" i="29" s="1"/>
  <c r="K82" i="29"/>
  <c r="L82" i="29" s="1"/>
  <c r="D64" i="34" l="1"/>
  <c r="W83" i="29"/>
  <c r="D65" i="34" s="1"/>
  <c r="K83" i="29"/>
  <c r="L83" i="29" s="1"/>
  <c r="V82" i="29"/>
  <c r="Q82" i="29"/>
  <c r="R82" i="29" s="1"/>
  <c r="Q83" i="29" l="1"/>
  <c r="R83" i="29" s="1"/>
  <c r="V83" i="29"/>
  <c r="W84" i="29" s="1"/>
  <c r="K84" i="29"/>
  <c r="L84" i="29" s="1"/>
  <c r="D66" i="34" l="1"/>
  <c r="W85" i="29"/>
  <c r="K85" i="29"/>
  <c r="L85" i="29" s="1"/>
  <c r="V84" i="29"/>
  <c r="Q84" i="29"/>
  <c r="R84" i="29" s="1"/>
  <c r="D67" i="34" l="1"/>
  <c r="W86" i="29"/>
  <c r="V85" i="29"/>
  <c r="Q85" i="29"/>
  <c r="R85" i="29" s="1"/>
  <c r="K86" i="29"/>
  <c r="L86" i="29" s="1"/>
  <c r="D68" i="34" l="1"/>
  <c r="W87" i="29"/>
  <c r="K87" i="29"/>
  <c r="L87" i="29" s="1"/>
  <c r="Q86" i="29"/>
  <c r="V86" i="29"/>
  <c r="R86" i="29"/>
  <c r="D69" i="34" l="1"/>
  <c r="W88" i="29"/>
  <c r="D70" i="34" s="1"/>
  <c r="Q87" i="29"/>
  <c r="R87" i="29" s="1"/>
  <c r="V87" i="29"/>
  <c r="K88" i="29"/>
  <c r="L88" i="29" s="1"/>
  <c r="K89" i="29" l="1"/>
  <c r="L89" i="29" s="1"/>
  <c r="V88" i="29"/>
  <c r="W89" i="29" s="1"/>
  <c r="Q88" i="29"/>
  <c r="R88" i="29" s="1"/>
  <c r="D71" i="34" l="1"/>
  <c r="W90" i="29"/>
  <c r="Q89" i="29"/>
  <c r="R89" i="29" s="1"/>
  <c r="V89" i="29"/>
  <c r="K90" i="29"/>
  <c r="L90" i="29" s="1"/>
  <c r="D72" i="34" l="1"/>
  <c r="W91" i="29"/>
  <c r="K91" i="29"/>
  <c r="L91" i="29" s="1"/>
  <c r="V90" i="29"/>
  <c r="Q90" i="29"/>
  <c r="R90" i="29" s="1"/>
  <c r="D73" i="34" l="1"/>
  <c r="W92" i="29"/>
  <c r="K92" i="29"/>
  <c r="L92" i="29" s="1"/>
  <c r="V91" i="29"/>
  <c r="Q91" i="29"/>
  <c r="R91" i="29" s="1"/>
  <c r="D74" i="34" l="1"/>
  <c r="W93" i="29"/>
  <c r="D75" i="34" s="1"/>
  <c r="V92" i="29"/>
  <c r="Q92" i="29"/>
  <c r="R92" i="29" s="1"/>
  <c r="K93" i="29"/>
  <c r="L93" i="29" s="1"/>
  <c r="Q93" i="29" l="1"/>
  <c r="R93" i="29" s="1"/>
  <c r="V93" i="29"/>
  <c r="W94" i="29" s="1"/>
  <c r="K94" i="29"/>
  <c r="L94" i="29" s="1"/>
  <c r="D76" i="34" l="1"/>
  <c r="W95" i="29"/>
  <c r="Q94" i="29"/>
  <c r="R94" i="29" s="1"/>
  <c r="V94" i="29"/>
  <c r="K95" i="29"/>
  <c r="L95" i="29" s="1"/>
  <c r="D77" i="34" l="1"/>
  <c r="W96" i="29"/>
  <c r="K96" i="29"/>
  <c r="V95" i="29"/>
  <c r="Q95" i="29"/>
  <c r="R95" i="29" s="1"/>
  <c r="L96" i="29" l="1"/>
  <c r="D10" i="29"/>
  <c r="D78" i="34"/>
  <c r="W97" i="29"/>
  <c r="Q96" i="29"/>
  <c r="R96" i="29" s="1"/>
  <c r="V96" i="29"/>
  <c r="K97" i="29"/>
  <c r="L97" i="29" s="1"/>
  <c r="D79" i="34" l="1"/>
  <c r="W98" i="29"/>
  <c r="D80" i="34" s="1"/>
  <c r="K98" i="29"/>
  <c r="L98" i="29" s="1"/>
  <c r="V97" i="29"/>
  <c r="Q97" i="29"/>
  <c r="R97" i="29" s="1"/>
  <c r="V98" i="29" l="1"/>
  <c r="W99" i="29" s="1"/>
  <c r="Q98" i="29"/>
  <c r="R98" i="29" s="1"/>
  <c r="K99" i="29"/>
  <c r="L99" i="29" s="1"/>
  <c r="D81" i="34" l="1"/>
  <c r="W100" i="29"/>
  <c r="V99" i="29"/>
  <c r="Q99" i="29"/>
  <c r="R99" i="29" s="1"/>
  <c r="K100" i="29"/>
  <c r="L100" i="29" s="1"/>
  <c r="D82" i="34" l="1"/>
  <c r="W101" i="29"/>
  <c r="V100" i="29"/>
  <c r="Q100" i="29"/>
  <c r="R100" i="29" s="1"/>
  <c r="K101" i="29"/>
  <c r="L101" i="29" s="1"/>
  <c r="D83" i="34" l="1"/>
  <c r="W102" i="29"/>
  <c r="Q101" i="29"/>
  <c r="R101" i="29" s="1"/>
  <c r="V101" i="29"/>
  <c r="K102" i="29"/>
  <c r="L102" i="29" s="1"/>
  <c r="D84" i="34" l="1"/>
  <c r="W103" i="29"/>
  <c r="D85" i="34" s="1"/>
  <c r="Q102" i="29"/>
  <c r="R102" i="29" s="1"/>
  <c r="V102" i="29"/>
  <c r="K103" i="29"/>
  <c r="L103" i="29" s="1"/>
  <c r="K104" i="29" l="1"/>
  <c r="L104" i="29" s="1"/>
  <c r="Q103" i="29"/>
  <c r="R103" i="29" s="1"/>
  <c r="V103" i="29"/>
  <c r="W104" i="29" s="1"/>
  <c r="D86" i="34" l="1"/>
  <c r="W105" i="29"/>
  <c r="Q104" i="29"/>
  <c r="R104" i="29" s="1"/>
  <c r="V104" i="29"/>
  <c r="K105" i="29"/>
  <c r="L105" i="29" s="1"/>
  <c r="D87" i="34" l="1"/>
  <c r="W106" i="29"/>
  <c r="K106" i="29"/>
  <c r="L106" i="29" s="1"/>
  <c r="V105" i="29"/>
  <c r="Q105" i="29"/>
  <c r="R105" i="29" s="1"/>
  <c r="D88" i="34" l="1"/>
  <c r="W107" i="29"/>
  <c r="V106" i="29"/>
  <c r="Q106" i="29"/>
  <c r="R106" i="29" s="1"/>
  <c r="K107" i="29"/>
  <c r="L107" i="29" s="1"/>
  <c r="D89" i="34" l="1"/>
  <c r="W108" i="29"/>
  <c r="D90" i="34" s="1"/>
  <c r="K108" i="29"/>
  <c r="L108" i="29" s="1"/>
  <c r="Q107" i="29"/>
  <c r="R107" i="29" s="1"/>
  <c r="V107" i="29"/>
  <c r="Q108" i="29" l="1"/>
  <c r="R108" i="29" s="1"/>
  <c r="V108" i="29"/>
  <c r="W109" i="29" s="1"/>
  <c r="K109" i="29"/>
  <c r="L109" i="29" s="1"/>
  <c r="D91" i="34" l="1"/>
  <c r="W110" i="29"/>
  <c r="V109" i="29"/>
  <c r="Q109" i="29"/>
  <c r="R109" i="29" s="1"/>
  <c r="K110" i="29"/>
  <c r="L110" i="29" s="1"/>
  <c r="D92" i="34" l="1"/>
  <c r="W111" i="29"/>
  <c r="Q110" i="29"/>
  <c r="R110" i="29" s="1"/>
  <c r="V110" i="29"/>
  <c r="K111" i="29"/>
  <c r="L111" i="29" s="1"/>
  <c r="D93" i="34" l="1"/>
  <c r="W112" i="29"/>
  <c r="Q111" i="29"/>
  <c r="R111" i="29" s="1"/>
  <c r="V111" i="29"/>
  <c r="K112" i="29"/>
  <c r="L112" i="29" s="1"/>
  <c r="D94" i="34" l="1"/>
  <c r="W113" i="29"/>
  <c r="D95" i="34" s="1"/>
  <c r="Q112" i="29"/>
  <c r="R112" i="29" s="1"/>
  <c r="V112" i="29"/>
  <c r="K113" i="29"/>
  <c r="L113" i="29" s="1"/>
  <c r="V113" i="29" l="1"/>
  <c r="W114" i="29" s="1"/>
  <c r="Q113" i="29"/>
  <c r="R113" i="29" s="1"/>
  <c r="K114" i="29"/>
  <c r="L114" i="29" s="1"/>
  <c r="D96" i="34" l="1"/>
  <c r="W115" i="29"/>
  <c r="Q114" i="29"/>
  <c r="R114" i="29" s="1"/>
  <c r="V114" i="29"/>
  <c r="K115" i="29"/>
  <c r="L115" i="29" s="1"/>
  <c r="D97" i="34" l="1"/>
  <c r="W116" i="29"/>
  <c r="Q115" i="29"/>
  <c r="R115" i="29" s="1"/>
  <c r="V115" i="29"/>
  <c r="K116" i="29"/>
  <c r="L116" i="29" s="1"/>
  <c r="D98" i="34" l="1"/>
  <c r="W117" i="29"/>
  <c r="Q116" i="29"/>
  <c r="R116" i="29" s="1"/>
  <c r="V116" i="29"/>
  <c r="K117" i="29"/>
  <c r="L117" i="29" s="1"/>
  <c r="D99" i="34" l="1"/>
  <c r="W118" i="29"/>
  <c r="D100" i="34" s="1"/>
  <c r="V117" i="29"/>
  <c r="Q117" i="29"/>
  <c r="R117" i="29" s="1"/>
  <c r="K118" i="29"/>
  <c r="L118" i="29" s="1"/>
  <c r="K119" i="29" l="1"/>
  <c r="L119" i="29" s="1"/>
  <c r="Q118" i="29"/>
  <c r="R118" i="29" s="1"/>
  <c r="V118" i="29"/>
  <c r="W119" i="29" s="1"/>
  <c r="D101" i="34" l="1"/>
  <c r="W120" i="29"/>
  <c r="Q119" i="29"/>
  <c r="R119" i="29" s="1"/>
  <c r="V119" i="29"/>
  <c r="K120" i="29"/>
  <c r="L120" i="29" s="1"/>
  <c r="D102" i="34" l="1"/>
  <c r="W121" i="29"/>
  <c r="Q120" i="29"/>
  <c r="R120" i="29" s="1"/>
  <c r="V120" i="29"/>
  <c r="K121" i="29"/>
  <c r="L121" i="29" s="1"/>
  <c r="D103" i="34" l="1"/>
  <c r="W122" i="29"/>
  <c r="V121" i="29"/>
  <c r="Q121" i="29"/>
  <c r="R121" i="29" s="1"/>
  <c r="K122" i="29"/>
  <c r="L122" i="29" s="1"/>
  <c r="D104" i="34" l="1"/>
  <c r="W123" i="29"/>
  <c r="D105" i="34" s="1"/>
  <c r="Q122" i="29"/>
  <c r="R122" i="29" s="1"/>
  <c r="V122" i="29"/>
  <c r="K123" i="29"/>
  <c r="L123" i="29" s="1"/>
  <c r="Q123" i="29" l="1"/>
  <c r="R123" i="29" s="1"/>
  <c r="V123" i="29"/>
  <c r="W124" i="29" s="1"/>
  <c r="K124" i="29"/>
  <c r="L124" i="29" s="1"/>
  <c r="D106" i="34" l="1"/>
  <c r="W125" i="29"/>
  <c r="Q124" i="29"/>
  <c r="R124" i="29" s="1"/>
  <c r="V124" i="29"/>
  <c r="K125" i="29"/>
  <c r="L125" i="29" s="1"/>
  <c r="D107" i="34" l="1"/>
  <c r="W126" i="29"/>
  <c r="V125" i="29"/>
  <c r="Q125" i="29"/>
  <c r="R125" i="29" s="1"/>
  <c r="K126" i="29"/>
  <c r="L126" i="29" s="1"/>
  <c r="D108" i="34" l="1"/>
  <c r="W127" i="29"/>
  <c r="D109" i="34" s="1"/>
  <c r="Q126" i="29"/>
  <c r="R126" i="29" s="1"/>
  <c r="V126" i="29"/>
  <c r="K127" i="29"/>
  <c r="L127" i="29" s="1"/>
  <c r="K128" i="29" l="1"/>
  <c r="L128" i="29" s="1"/>
  <c r="Q127" i="29"/>
  <c r="R127" i="29" s="1"/>
  <c r="V127" i="29"/>
  <c r="W128" i="29" s="1"/>
  <c r="D110" i="34" l="1"/>
  <c r="W129" i="29"/>
  <c r="Q128" i="29"/>
  <c r="R128" i="29" s="1"/>
  <c r="V128" i="29"/>
  <c r="K129" i="29"/>
  <c r="L129" i="29" s="1"/>
  <c r="D111" i="34" l="1"/>
  <c r="W130" i="29"/>
  <c r="Q129" i="29"/>
  <c r="R129" i="29" s="1"/>
  <c r="V129" i="29"/>
  <c r="K130" i="29"/>
  <c r="L130" i="29" s="1"/>
  <c r="D112" i="34" l="1"/>
  <c r="W131" i="29"/>
  <c r="V130" i="29"/>
  <c r="Q130" i="29"/>
  <c r="R130" i="29" s="1"/>
  <c r="K131" i="29"/>
  <c r="L131" i="29" s="1"/>
  <c r="D113" i="34" l="1"/>
  <c r="W132" i="29"/>
  <c r="D114" i="34" s="1"/>
  <c r="K132" i="29"/>
  <c r="L132" i="29" s="1"/>
  <c r="V131" i="29"/>
  <c r="Q131" i="29"/>
  <c r="R131" i="29" s="1"/>
  <c r="K133" i="29" l="1"/>
  <c r="L133" i="29" s="1"/>
  <c r="Q132" i="29"/>
  <c r="R132" i="29" s="1"/>
  <c r="V132" i="29"/>
  <c r="W133" i="29" s="1"/>
  <c r="D115" i="34" l="1"/>
  <c r="W134" i="29"/>
  <c r="Q133" i="29"/>
  <c r="R133" i="29" s="1"/>
  <c r="V133" i="29"/>
  <c r="K134" i="29"/>
  <c r="L134" i="29" s="1"/>
  <c r="D116" i="34" l="1"/>
  <c r="W135" i="29"/>
  <c r="V134" i="29"/>
  <c r="Q134" i="29"/>
  <c r="R134" i="29" s="1"/>
  <c r="K135" i="29"/>
  <c r="L135" i="29" s="1"/>
  <c r="D117" i="34" l="1"/>
  <c r="W136" i="29"/>
  <c r="K136" i="29"/>
  <c r="L136" i="29" s="1"/>
  <c r="V135" i="29"/>
  <c r="Q135" i="29"/>
  <c r="R135" i="29" s="1"/>
  <c r="D118" i="34" l="1"/>
  <c r="W137" i="29"/>
  <c r="D119" i="34" s="1"/>
  <c r="K137" i="29"/>
  <c r="L137" i="29" s="1"/>
  <c r="Q136" i="29"/>
  <c r="R136" i="29" s="1"/>
  <c r="V136" i="29"/>
  <c r="Q137" i="29" l="1"/>
  <c r="R137" i="29" s="1"/>
  <c r="V137" i="29"/>
  <c r="W138" i="29" s="1"/>
  <c r="K138" i="29"/>
  <c r="L138" i="29" s="1"/>
  <c r="D120" i="34" l="1"/>
  <c r="W139" i="29"/>
  <c r="V138" i="29"/>
  <c r="Q138" i="29"/>
  <c r="R138" i="29" s="1"/>
  <c r="K139" i="29"/>
  <c r="L139" i="29" s="1"/>
  <c r="D121" i="34" l="1"/>
  <c r="W140" i="29"/>
  <c r="K140" i="29"/>
  <c r="L140" i="29" s="1"/>
  <c r="V139" i="29"/>
  <c r="Q139" i="29"/>
  <c r="R139" i="29" s="1"/>
  <c r="D122" i="34" l="1"/>
  <c r="W141" i="29"/>
  <c r="K141" i="29"/>
  <c r="L141" i="29" s="1"/>
  <c r="Q140" i="29"/>
  <c r="R140" i="29" s="1"/>
  <c r="V140" i="29"/>
  <c r="D123" i="34" l="1"/>
  <c r="W142" i="29"/>
  <c r="D124" i="34" s="1"/>
  <c r="Q141" i="29"/>
  <c r="R141" i="29" s="1"/>
  <c r="V141" i="29"/>
  <c r="K142" i="29"/>
  <c r="L142" i="29" s="1"/>
  <c r="V142" i="29" l="1"/>
  <c r="W143" i="29" s="1"/>
  <c r="Q142" i="29"/>
  <c r="R142" i="29" s="1"/>
  <c r="K143" i="29"/>
  <c r="L143" i="29" s="1"/>
  <c r="D125" i="34" l="1"/>
  <c r="W144" i="29"/>
  <c r="K144" i="29"/>
  <c r="L144" i="29" s="1"/>
  <c r="V143" i="29"/>
  <c r="Q143" i="29"/>
  <c r="R143" i="29" s="1"/>
  <c r="D126" i="34" l="1"/>
  <c r="W145" i="29"/>
  <c r="K145" i="29"/>
  <c r="L145" i="29" s="1"/>
  <c r="Q144" i="29"/>
  <c r="R144" i="29" s="1"/>
  <c r="V144" i="29"/>
  <c r="D127" i="34" l="1"/>
  <c r="W146" i="29"/>
  <c r="Q145" i="29"/>
  <c r="R145" i="29" s="1"/>
  <c r="V145" i="29"/>
  <c r="K147" i="29"/>
  <c r="L147" i="29" s="1"/>
  <c r="K146" i="29"/>
  <c r="L146" i="29" s="1"/>
  <c r="D128" i="34" l="1"/>
  <c r="W147" i="29"/>
  <c r="D129" i="34" s="1"/>
  <c r="V147" i="29"/>
  <c r="Q147" i="29"/>
  <c r="R147" i="29" s="1"/>
  <c r="V146" i="29"/>
  <c r="Q146" i="29"/>
  <c r="R146" i="29" s="1"/>
  <c r="V38" i="29" l="1"/>
  <c r="V39" i="29"/>
  <c r="C204" i="25"/>
  <c r="C203" i="25"/>
  <c r="C202" i="25"/>
  <c r="C201" i="25"/>
  <c r="C200" i="25"/>
  <c r="C199" i="25"/>
  <c r="C198" i="25"/>
  <c r="C197" i="25"/>
  <c r="C196" i="25"/>
  <c r="C195" i="25"/>
  <c r="C194" i="25"/>
  <c r="C193" i="25"/>
  <c r="C192" i="25"/>
  <c r="C191" i="25"/>
  <c r="C190" i="25"/>
  <c r="C189" i="25"/>
  <c r="C188" i="25"/>
  <c r="C187" i="25"/>
  <c r="C186" i="25"/>
  <c r="C185" i="25"/>
  <c r="C184" i="25"/>
  <c r="C183" i="25"/>
  <c r="C182" i="25"/>
  <c r="C181" i="25"/>
  <c r="C180" i="25"/>
  <c r="C179" i="25"/>
  <c r="C178" i="25"/>
  <c r="C177" i="25"/>
  <c r="C176" i="25"/>
  <c r="C175" i="25"/>
  <c r="C174" i="25"/>
  <c r="C173" i="25"/>
  <c r="C172" i="25"/>
  <c r="C171" i="25"/>
  <c r="C170" i="25"/>
  <c r="C169" i="25"/>
  <c r="C168" i="25"/>
  <c r="C167" i="25"/>
  <c r="C166" i="25"/>
  <c r="C165" i="25"/>
  <c r="C164" i="25"/>
  <c r="C163" i="25"/>
  <c r="C162" i="25"/>
  <c r="C161" i="25"/>
  <c r="C160" i="25"/>
  <c r="C159" i="25"/>
  <c r="C158" i="25"/>
  <c r="C157" i="25"/>
  <c r="C156" i="25"/>
  <c r="C155" i="25"/>
  <c r="C154" i="25"/>
  <c r="C153" i="25"/>
  <c r="C152" i="25"/>
  <c r="C151" i="25"/>
  <c r="C150" i="25"/>
  <c r="C149" i="25"/>
  <c r="C148" i="25"/>
  <c r="C147" i="25"/>
  <c r="C146" i="25"/>
  <c r="C145" i="25"/>
  <c r="C144" i="25"/>
  <c r="C143" i="25"/>
  <c r="C142" i="25"/>
  <c r="C141" i="25"/>
  <c r="C140" i="25"/>
  <c r="C139" i="25"/>
  <c r="C138" i="25"/>
  <c r="C137" i="25"/>
  <c r="C136" i="25"/>
  <c r="C135" i="25"/>
  <c r="C134" i="25"/>
  <c r="C133" i="25"/>
  <c r="C132" i="25"/>
  <c r="C131" i="25"/>
  <c r="C130" i="25"/>
  <c r="C129" i="25"/>
  <c r="C128" i="25"/>
  <c r="C127" i="25"/>
  <c r="C126" i="25"/>
  <c r="C125"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AC15" i="25"/>
  <c r="AG15" i="25" s="1"/>
  <c r="AI15" i="25" s="1"/>
  <c r="AA15" i="25"/>
  <c r="X15" i="25"/>
  <c r="Z15" i="25" s="1"/>
  <c r="AF14" i="25"/>
  <c r="AC14" i="25"/>
  <c r="AG14" i="25" s="1"/>
  <c r="AI14" i="25" s="1"/>
  <c r="AB14" i="25"/>
  <c r="AA14" i="25"/>
  <c r="Z14" i="25"/>
  <c r="X14" i="25"/>
  <c r="AF13" i="25"/>
  <c r="AC13" i="25"/>
  <c r="AG13" i="25" s="1"/>
  <c r="AI13" i="25" s="1"/>
  <c r="E22" i="25" s="1"/>
  <c r="AA13" i="25"/>
  <c r="X13" i="25"/>
  <c r="Z13" i="25" s="1"/>
  <c r="AF12" i="25"/>
  <c r="AC12" i="25"/>
  <c r="AB12" i="25" s="1"/>
  <c r="AA12" i="25"/>
  <c r="X12" i="25"/>
  <c r="Z12" i="25" s="1"/>
  <c r="AG11" i="25"/>
  <c r="AI11" i="25" s="1"/>
  <c r="AF11" i="25"/>
  <c r="AC11" i="25"/>
  <c r="AE11" i="25" s="1"/>
  <c r="AB11" i="25"/>
  <c r="AA11" i="25"/>
  <c r="X11" i="25"/>
  <c r="Z11" i="25" s="1"/>
  <c r="AF10" i="25"/>
  <c r="AC10" i="25"/>
  <c r="AG10" i="25" s="1"/>
  <c r="AI10" i="25" s="1"/>
  <c r="AA10" i="25"/>
  <c r="X10" i="25"/>
  <c r="Z10" i="25" s="1"/>
  <c r="AF9" i="25"/>
  <c r="AC9" i="25"/>
  <c r="AE9" i="25" s="1"/>
  <c r="AA9" i="25"/>
  <c r="Z9" i="25"/>
  <c r="X9" i="25"/>
  <c r="AF8" i="25"/>
  <c r="AC8" i="25"/>
  <c r="AB8" i="25" s="1"/>
  <c r="AA8" i="25"/>
  <c r="Z8" i="25"/>
  <c r="X8" i="25"/>
  <c r="AG7" i="25"/>
  <c r="AI7" i="25" s="1"/>
  <c r="AF7" i="25"/>
  <c r="AC7" i="25"/>
  <c r="AE7" i="25" s="1"/>
  <c r="AA7" i="25"/>
  <c r="X7" i="25"/>
  <c r="Z7" i="25" s="1"/>
  <c r="AG6" i="25"/>
  <c r="AI6" i="25" s="1"/>
  <c r="AF6" i="25"/>
  <c r="AE6" i="25"/>
  <c r="AB6" i="25"/>
  <c r="AA6" i="25"/>
  <c r="Z6" i="25"/>
  <c r="AB13" i="25" l="1"/>
  <c r="AG8" i="25"/>
  <c r="AI8" i="25" s="1"/>
  <c r="AB15" i="25"/>
  <c r="AE15" i="25"/>
  <c r="V37" i="29"/>
  <c r="W42" i="29" s="1"/>
  <c r="D24" i="34" s="1"/>
  <c r="AE8" i="25"/>
  <c r="K22" i="25"/>
  <c r="W22" i="25" s="1"/>
  <c r="AE12" i="25"/>
  <c r="AB10" i="25"/>
  <c r="AG12" i="25"/>
  <c r="AI12" i="25" s="1"/>
  <c r="AB9" i="25"/>
  <c r="AE10" i="25"/>
  <c r="N22" i="25"/>
  <c r="N202" i="25"/>
  <c r="N201" i="25"/>
  <c r="K195" i="25"/>
  <c r="N193" i="25"/>
  <c r="P192" i="25"/>
  <c r="K187" i="25"/>
  <c r="N185" i="25"/>
  <c r="N180" i="25"/>
  <c r="K179" i="25"/>
  <c r="N178" i="25"/>
  <c r="N177" i="25"/>
  <c r="N176" i="25"/>
  <c r="N174" i="25"/>
  <c r="K173" i="25"/>
  <c r="K171" i="25"/>
  <c r="K170" i="25"/>
  <c r="N169" i="25"/>
  <c r="K168" i="25"/>
  <c r="N164" i="25"/>
  <c r="P163" i="25"/>
  <c r="P146" i="25"/>
  <c r="N161" i="25"/>
  <c r="N159" i="25"/>
  <c r="K149" i="25"/>
  <c r="K141" i="25"/>
  <c r="N144" i="25"/>
  <c r="P158" i="25"/>
  <c r="P113" i="25"/>
  <c r="P105" i="25"/>
  <c r="K143" i="25"/>
  <c r="P137" i="25"/>
  <c r="K122" i="25"/>
  <c r="K114" i="25"/>
  <c r="K106" i="25"/>
  <c r="P160" i="25"/>
  <c r="P150" i="25"/>
  <c r="P148" i="25"/>
  <c r="P140" i="25"/>
  <c r="P152" i="25"/>
  <c r="N109" i="25"/>
  <c r="P154" i="25"/>
  <c r="P147" i="25"/>
  <c r="P102" i="25"/>
  <c r="K91" i="25"/>
  <c r="K83" i="25"/>
  <c r="K75" i="25"/>
  <c r="P74" i="25"/>
  <c r="K73" i="25"/>
  <c r="K72" i="25"/>
  <c r="K71" i="25"/>
  <c r="K70" i="25"/>
  <c r="K68" i="25"/>
  <c r="K67" i="25"/>
  <c r="P66" i="25"/>
  <c r="K65" i="25"/>
  <c r="K64" i="25"/>
  <c r="N63" i="25"/>
  <c r="N61" i="25"/>
  <c r="K60" i="25"/>
  <c r="K129" i="25"/>
  <c r="P126" i="25"/>
  <c r="K124" i="25"/>
  <c r="P118" i="25"/>
  <c r="P99" i="25"/>
  <c r="K84" i="25"/>
  <c r="K76" i="25"/>
  <c r="P156" i="25"/>
  <c r="P96" i="25"/>
  <c r="P85" i="25"/>
  <c r="P77" i="25"/>
  <c r="P101" i="25"/>
  <c r="P145" i="25"/>
  <c r="P134" i="25"/>
  <c r="P98" i="25"/>
  <c r="N87" i="25"/>
  <c r="N79" i="25"/>
  <c r="P111" i="25"/>
  <c r="P103" i="25"/>
  <c r="P93" i="25"/>
  <c r="K90" i="25"/>
  <c r="P89" i="25"/>
  <c r="K112" i="25"/>
  <c r="P97" i="25"/>
  <c r="P95" i="25"/>
  <c r="P81" i="25"/>
  <c r="N39" i="25"/>
  <c r="P38" i="25"/>
  <c r="P36" i="25"/>
  <c r="P32" i="25"/>
  <c r="P31" i="25"/>
  <c r="P29" i="25"/>
  <c r="P23" i="25"/>
  <c r="K57" i="25"/>
  <c r="K55" i="25"/>
  <c r="K53" i="25"/>
  <c r="K51" i="25"/>
  <c r="K49" i="25"/>
  <c r="K47" i="25"/>
  <c r="K45" i="25"/>
  <c r="P30" i="25"/>
  <c r="P27" i="25"/>
  <c r="P24" i="25"/>
  <c r="P22" i="25"/>
  <c r="N59" i="25"/>
  <c r="K43" i="25"/>
  <c r="P33" i="25"/>
  <c r="N52" i="25"/>
  <c r="P37" i="25"/>
  <c r="P35" i="25"/>
  <c r="P34" i="25"/>
  <c r="P28" i="25"/>
  <c r="P26" i="25"/>
  <c r="P25" i="25"/>
  <c r="P100" i="25"/>
  <c r="N58" i="25"/>
  <c r="N48" i="25"/>
  <c r="K42" i="25"/>
  <c r="N26" i="25"/>
  <c r="K39" i="25"/>
  <c r="P53" i="25"/>
  <c r="K28" i="25"/>
  <c r="K36" i="25"/>
  <c r="N55" i="25"/>
  <c r="N71" i="25"/>
  <c r="K33" i="25"/>
  <c r="P55" i="25"/>
  <c r="N33" i="25"/>
  <c r="N46" i="25"/>
  <c r="K26" i="25"/>
  <c r="K31" i="25"/>
  <c r="N28" i="25"/>
  <c r="P39" i="25"/>
  <c r="N42" i="25"/>
  <c r="N25" i="25"/>
  <c r="K30" i="25"/>
  <c r="K38" i="25"/>
  <c r="N57" i="25"/>
  <c r="N51" i="25"/>
  <c r="N38" i="25"/>
  <c r="K27" i="25"/>
  <c r="N30" i="25"/>
  <c r="N36" i="25"/>
  <c r="P57" i="25"/>
  <c r="P203" i="25"/>
  <c r="N203" i="25"/>
  <c r="P62" i="25"/>
  <c r="P70" i="25"/>
  <c r="K135" i="25"/>
  <c r="AB7" i="25"/>
  <c r="AE14" i="25"/>
  <c r="N62" i="25"/>
  <c r="P64" i="25"/>
  <c r="N65" i="25"/>
  <c r="P67" i="25"/>
  <c r="N70" i="25"/>
  <c r="P72" i="25"/>
  <c r="N73" i="25"/>
  <c r="P84" i="25"/>
  <c r="N119" i="25"/>
  <c r="P122" i="25"/>
  <c r="K62" i="25"/>
  <c r="N102" i="25"/>
  <c r="N127" i="25"/>
  <c r="AE13" i="25"/>
  <c r="P68" i="25"/>
  <c r="N85" i="25"/>
  <c r="K95" i="25"/>
  <c r="AG9" i="25"/>
  <c r="AI9" i="25" s="1"/>
  <c r="N64" i="25"/>
  <c r="N72" i="25"/>
  <c r="K80" i="25"/>
  <c r="N83" i="25"/>
  <c r="P138" i="25"/>
  <c r="N124" i="25"/>
  <c r="K85" i="25"/>
  <c r="K77" i="25"/>
  <c r="N90" i="25"/>
  <c r="N94" i="25"/>
  <c r="N118" i="25"/>
  <c r="P79" i="25"/>
  <c r="P80" i="25"/>
  <c r="K87" i="25"/>
  <c r="K88" i="25"/>
  <c r="P90" i="25"/>
  <c r="P94" i="25"/>
  <c r="P127" i="25"/>
  <c r="N131" i="25"/>
  <c r="K63" i="25"/>
  <c r="P65" i="25"/>
  <c r="P73" i="25"/>
  <c r="K98" i="25"/>
  <c r="K113" i="25"/>
  <c r="N122" i="25"/>
  <c r="N181" i="25"/>
  <c r="P63" i="25"/>
  <c r="P71" i="25"/>
  <c r="N80" i="25"/>
  <c r="K89" i="25"/>
  <c r="N82" i="25"/>
  <c r="P87" i="25"/>
  <c r="K93" i="25"/>
  <c r="N99" i="25"/>
  <c r="K132" i="25"/>
  <c r="P143" i="25"/>
  <c r="N143" i="25"/>
  <c r="K79" i="25"/>
  <c r="N89" i="25"/>
  <c r="P108" i="25"/>
  <c r="P119" i="25"/>
  <c r="P124" i="25"/>
  <c r="N129" i="25"/>
  <c r="N95" i="25"/>
  <c r="N97" i="25"/>
  <c r="K92" i="25"/>
  <c r="N100" i="25"/>
  <c r="K105" i="25"/>
  <c r="N111" i="25"/>
  <c r="N112" i="25"/>
  <c r="P114" i="25"/>
  <c r="K139" i="25"/>
  <c r="N160" i="25"/>
  <c r="K99" i="25"/>
  <c r="N114" i="25"/>
  <c r="K118" i="25"/>
  <c r="K121" i="25"/>
  <c r="K123" i="25"/>
  <c r="K126" i="25"/>
  <c r="N166" i="25"/>
  <c r="P171" i="25"/>
  <c r="K94" i="25"/>
  <c r="N96" i="25"/>
  <c r="N98" i="25"/>
  <c r="K102" i="25"/>
  <c r="N104" i="25"/>
  <c r="P106" i="25"/>
  <c r="P112" i="25"/>
  <c r="N115" i="25"/>
  <c r="P116" i="25"/>
  <c r="K119" i="25"/>
  <c r="K127" i="25"/>
  <c r="K97" i="25"/>
  <c r="N101" i="25"/>
  <c r="N105" i="25"/>
  <c r="N106" i="25"/>
  <c r="K109" i="25"/>
  <c r="K110" i="25"/>
  <c r="P131" i="25"/>
  <c r="P187" i="25"/>
  <c r="K152" i="25"/>
  <c r="N158" i="25"/>
  <c r="K162" i="25"/>
  <c r="K196" i="25"/>
  <c r="K130" i="25"/>
  <c r="K136" i="25"/>
  <c r="K140" i="25"/>
  <c r="N145" i="25"/>
  <c r="K148" i="25"/>
  <c r="K150" i="25"/>
  <c r="N157" i="25"/>
  <c r="N165" i="25"/>
  <c r="N196" i="25"/>
  <c r="K133" i="25"/>
  <c r="N138" i="25"/>
  <c r="N155" i="25"/>
  <c r="K160" i="25"/>
  <c r="N173" i="25"/>
  <c r="K137" i="25"/>
  <c r="N153" i="25"/>
  <c r="P167" i="25"/>
  <c r="P179" i="25"/>
  <c r="K185" i="25"/>
  <c r="K201" i="25"/>
  <c r="K131" i="25"/>
  <c r="N151" i="25"/>
  <c r="N152" i="25"/>
  <c r="K158" i="25"/>
  <c r="N162" i="25"/>
  <c r="N167" i="25"/>
  <c r="K191" i="25"/>
  <c r="P198" i="25"/>
  <c r="K138" i="25"/>
  <c r="N140" i="25"/>
  <c r="N141" i="25"/>
  <c r="K145" i="25"/>
  <c r="N148" i="25"/>
  <c r="N150" i="25"/>
  <c r="N172" i="25"/>
  <c r="N179" i="25"/>
  <c r="K190" i="25"/>
  <c r="K175" i="25"/>
  <c r="K183" i="25"/>
  <c r="P185" i="25"/>
  <c r="N190" i="25"/>
  <c r="K164" i="25"/>
  <c r="K174" i="25"/>
  <c r="K188" i="25"/>
  <c r="P190" i="25"/>
  <c r="N195" i="25"/>
  <c r="K199" i="25"/>
  <c r="K204" i="25"/>
  <c r="K165" i="25"/>
  <c r="P175" i="25"/>
  <c r="K181" i="25"/>
  <c r="P183" i="25"/>
  <c r="N188" i="25"/>
  <c r="K193" i="25"/>
  <c r="N204" i="25"/>
  <c r="P164" i="25"/>
  <c r="K166" i="25"/>
  <c r="K167" i="25"/>
  <c r="K169" i="25"/>
  <c r="K172" i="25"/>
  <c r="N175" i="25"/>
  <c r="K180" i="25"/>
  <c r="N183" i="25"/>
  <c r="K198" i="25"/>
  <c r="P165" i="25"/>
  <c r="P173" i="25"/>
  <c r="P181" i="25"/>
  <c r="N198" i="25"/>
  <c r="K203" i="25"/>
  <c r="P201" i="25"/>
  <c r="P188" i="25"/>
  <c r="P196" i="25"/>
  <c r="P204" i="25"/>
  <c r="P162" i="25"/>
  <c r="P191" i="25"/>
  <c r="P199" i="25"/>
  <c r="P166" i="25"/>
  <c r="P170" i="25"/>
  <c r="P172" i="25"/>
  <c r="P174" i="25"/>
  <c r="P180" i="25"/>
  <c r="P182" i="25"/>
  <c r="P186" i="25"/>
  <c r="P189" i="25"/>
  <c r="P197" i="25"/>
  <c r="N191" i="25"/>
  <c r="N199" i="25"/>
  <c r="P200" i="25"/>
  <c r="L169" i="25" l="1"/>
  <c r="W169" i="25"/>
  <c r="L181" i="25"/>
  <c r="W181" i="25"/>
  <c r="L174" i="25"/>
  <c r="W174" i="25"/>
  <c r="L191" i="25"/>
  <c r="Q191" i="25" s="1"/>
  <c r="R191" i="25" s="1"/>
  <c r="W191" i="25"/>
  <c r="L185" i="25"/>
  <c r="W185" i="25"/>
  <c r="L140" i="25"/>
  <c r="W140" i="25"/>
  <c r="L119" i="25"/>
  <c r="W119" i="25"/>
  <c r="L98" i="25"/>
  <c r="Q98" i="25" s="1"/>
  <c r="R98" i="25" s="1"/>
  <c r="W98" i="25"/>
  <c r="L88" i="25"/>
  <c r="W88" i="25"/>
  <c r="L85" i="25"/>
  <c r="W85" i="25"/>
  <c r="L95" i="25"/>
  <c r="W95" i="25"/>
  <c r="L30" i="25"/>
  <c r="Q30" i="25" s="1"/>
  <c r="R30" i="25" s="1"/>
  <c r="W30" i="25"/>
  <c r="L39" i="25"/>
  <c r="W39" i="25"/>
  <c r="L53" i="25"/>
  <c r="W53" i="25"/>
  <c r="L65" i="25"/>
  <c r="W65" i="25"/>
  <c r="L171" i="25"/>
  <c r="W171" i="25"/>
  <c r="L167" i="25"/>
  <c r="W167" i="25"/>
  <c r="L164" i="25"/>
  <c r="W164" i="25"/>
  <c r="L133" i="25"/>
  <c r="W133" i="25"/>
  <c r="L136" i="25"/>
  <c r="W136" i="25"/>
  <c r="L110" i="25"/>
  <c r="W110" i="25"/>
  <c r="L94" i="25"/>
  <c r="W94" i="25"/>
  <c r="L99" i="25"/>
  <c r="W99" i="25"/>
  <c r="L92" i="25"/>
  <c r="W92" i="25"/>
  <c r="L79" i="25"/>
  <c r="W79" i="25"/>
  <c r="L89" i="25"/>
  <c r="W89" i="25"/>
  <c r="L87" i="25"/>
  <c r="Q87" i="25" s="1"/>
  <c r="R87" i="25" s="1"/>
  <c r="W87" i="25"/>
  <c r="L55" i="25"/>
  <c r="Q55" i="25" s="1"/>
  <c r="R55" i="25" s="1"/>
  <c r="W55" i="25"/>
  <c r="L124" i="25"/>
  <c r="W124" i="25"/>
  <c r="L75" i="25"/>
  <c r="W75" i="25"/>
  <c r="L143" i="25"/>
  <c r="W143" i="25"/>
  <c r="L173" i="25"/>
  <c r="Q173" i="25" s="1"/>
  <c r="R173" i="25" s="1"/>
  <c r="W173" i="25"/>
  <c r="L187" i="25"/>
  <c r="W187" i="25"/>
  <c r="L166" i="25"/>
  <c r="W166" i="25"/>
  <c r="L165" i="25"/>
  <c r="W165" i="25"/>
  <c r="L130" i="25"/>
  <c r="W130" i="25"/>
  <c r="L109" i="25"/>
  <c r="W109" i="25"/>
  <c r="L33" i="25"/>
  <c r="W33" i="25"/>
  <c r="L42" i="25"/>
  <c r="W42" i="25"/>
  <c r="L57" i="25"/>
  <c r="Q57" i="25" s="1"/>
  <c r="R57" i="25" s="1"/>
  <c r="W57" i="25"/>
  <c r="L67" i="25"/>
  <c r="W67" i="25"/>
  <c r="L83" i="25"/>
  <c r="W83" i="25"/>
  <c r="L198" i="25"/>
  <c r="W198" i="25"/>
  <c r="L204" i="25"/>
  <c r="Q204" i="25" s="1"/>
  <c r="R204" i="25" s="1"/>
  <c r="W204" i="25"/>
  <c r="L145" i="25"/>
  <c r="W145" i="25"/>
  <c r="L158" i="25"/>
  <c r="W158" i="25"/>
  <c r="L196" i="25"/>
  <c r="W196" i="25"/>
  <c r="L139" i="25"/>
  <c r="W139" i="25"/>
  <c r="L63" i="25"/>
  <c r="W63" i="25"/>
  <c r="L135" i="25"/>
  <c r="W135" i="25"/>
  <c r="L27" i="25"/>
  <c r="W27" i="25"/>
  <c r="L129" i="25"/>
  <c r="W129" i="25"/>
  <c r="L68" i="25"/>
  <c r="W68" i="25"/>
  <c r="L91" i="25"/>
  <c r="W91" i="25"/>
  <c r="L199" i="25"/>
  <c r="W199" i="25"/>
  <c r="L183" i="25"/>
  <c r="Q183" i="25" s="1"/>
  <c r="R183" i="25" s="1"/>
  <c r="W183" i="25"/>
  <c r="L137" i="25"/>
  <c r="W137" i="25"/>
  <c r="L162" i="25"/>
  <c r="W162" i="25"/>
  <c r="L126" i="25"/>
  <c r="W126" i="25"/>
  <c r="L132" i="25"/>
  <c r="W132" i="25"/>
  <c r="L80" i="25"/>
  <c r="W80" i="25"/>
  <c r="L45" i="25"/>
  <c r="W45" i="25"/>
  <c r="L60" i="25"/>
  <c r="W60" i="25"/>
  <c r="L70" i="25"/>
  <c r="Q70" i="25" s="1"/>
  <c r="R70" i="25" s="1"/>
  <c r="W70" i="25"/>
  <c r="L195" i="25"/>
  <c r="W195" i="25"/>
  <c r="L180" i="25"/>
  <c r="W180" i="25"/>
  <c r="L193" i="25"/>
  <c r="W193" i="25"/>
  <c r="L175" i="25"/>
  <c r="Q175" i="25" s="1"/>
  <c r="R175" i="25" s="1"/>
  <c r="W175" i="25"/>
  <c r="L150" i="25"/>
  <c r="W150" i="25"/>
  <c r="L123" i="25"/>
  <c r="W123" i="25"/>
  <c r="L31" i="25"/>
  <c r="W31" i="25"/>
  <c r="L36" i="25"/>
  <c r="Q36" i="25" s="1"/>
  <c r="R36" i="25" s="1"/>
  <c r="W36" i="25"/>
  <c r="L47" i="25"/>
  <c r="W47" i="25"/>
  <c r="L112" i="25"/>
  <c r="W112" i="25"/>
  <c r="L76" i="25"/>
  <c r="W76" i="25"/>
  <c r="L71" i="25"/>
  <c r="Q71" i="25" s="1"/>
  <c r="R71" i="25" s="1"/>
  <c r="W71" i="25"/>
  <c r="L106" i="25"/>
  <c r="W106" i="25"/>
  <c r="L168" i="25"/>
  <c r="W168" i="25"/>
  <c r="L203" i="25"/>
  <c r="Q203" i="25" s="1"/>
  <c r="R203" i="25" s="1"/>
  <c r="W203" i="25"/>
  <c r="L190" i="25"/>
  <c r="Q190" i="25" s="1"/>
  <c r="R190" i="25" s="1"/>
  <c r="W190" i="25"/>
  <c r="L138" i="25"/>
  <c r="W138" i="25"/>
  <c r="L131" i="25"/>
  <c r="W131" i="25"/>
  <c r="L160" i="25"/>
  <c r="Q160" i="25" s="1"/>
  <c r="R160" i="25" s="1"/>
  <c r="W160" i="25"/>
  <c r="L148" i="25"/>
  <c r="Q148" i="25" s="1"/>
  <c r="R148" i="25" s="1"/>
  <c r="W148" i="25"/>
  <c r="L152" i="25"/>
  <c r="W152" i="25"/>
  <c r="L97" i="25"/>
  <c r="W97" i="25"/>
  <c r="L102" i="25"/>
  <c r="W102" i="25"/>
  <c r="L121" i="25"/>
  <c r="W121" i="25"/>
  <c r="L93" i="25"/>
  <c r="W93" i="25"/>
  <c r="L62" i="25"/>
  <c r="W62" i="25"/>
  <c r="L26" i="25"/>
  <c r="W26" i="25"/>
  <c r="L28" i="25"/>
  <c r="W28" i="25"/>
  <c r="L43" i="25"/>
  <c r="W43" i="25"/>
  <c r="L49" i="25"/>
  <c r="W49" i="25"/>
  <c r="L84" i="25"/>
  <c r="W84" i="25"/>
  <c r="L72" i="25"/>
  <c r="Q72" i="25" s="1"/>
  <c r="R72" i="25" s="1"/>
  <c r="W72" i="25"/>
  <c r="L114" i="25"/>
  <c r="W114" i="25"/>
  <c r="L141" i="25"/>
  <c r="W141" i="25"/>
  <c r="L179" i="25"/>
  <c r="W179" i="25"/>
  <c r="L172" i="25"/>
  <c r="Q172" i="25" s="1"/>
  <c r="R172" i="25" s="1"/>
  <c r="W172" i="25"/>
  <c r="L188" i="25"/>
  <c r="W188" i="25"/>
  <c r="L201" i="25"/>
  <c r="W201" i="25"/>
  <c r="L127" i="25"/>
  <c r="W127" i="25"/>
  <c r="L118" i="25"/>
  <c r="Q118" i="25" s="1"/>
  <c r="R118" i="25" s="1"/>
  <c r="W118" i="25"/>
  <c r="L105" i="25"/>
  <c r="W105" i="25"/>
  <c r="L113" i="25"/>
  <c r="W113" i="25"/>
  <c r="L77" i="25"/>
  <c r="W77" i="25"/>
  <c r="L38" i="25"/>
  <c r="Q38" i="25" s="1"/>
  <c r="R38" i="25" s="1"/>
  <c r="W38" i="25"/>
  <c r="L51" i="25"/>
  <c r="W51" i="25"/>
  <c r="L90" i="25"/>
  <c r="W90" i="25"/>
  <c r="L64" i="25"/>
  <c r="W64" i="25"/>
  <c r="L73" i="25"/>
  <c r="Q73" i="25" s="1"/>
  <c r="R73" i="25" s="1"/>
  <c r="W73" i="25"/>
  <c r="L122" i="25"/>
  <c r="W122" i="25"/>
  <c r="L149" i="25"/>
  <c r="W149" i="25"/>
  <c r="L170" i="25"/>
  <c r="W170" i="25"/>
  <c r="W43" i="29"/>
  <c r="D25" i="34" s="1"/>
  <c r="P49" i="25"/>
  <c r="P42" i="25"/>
  <c r="N32" i="25"/>
  <c r="K32" i="25"/>
  <c r="N29" i="25"/>
  <c r="Q179" i="25"/>
  <c r="R179" i="25" s="1"/>
  <c r="P193" i="25"/>
  <c r="Q167" i="25"/>
  <c r="R167" i="25" s="1"/>
  <c r="Q158" i="25"/>
  <c r="R158" i="25" s="1"/>
  <c r="N168" i="25"/>
  <c r="Q80" i="25"/>
  <c r="R80" i="25" s="1"/>
  <c r="Q62" i="25"/>
  <c r="R62" i="25" s="1"/>
  <c r="N47" i="25"/>
  <c r="Q39" i="25"/>
  <c r="R39" i="25" s="1"/>
  <c r="N41" i="25"/>
  <c r="P41" i="25"/>
  <c r="P59" i="25"/>
  <c r="K59" i="25"/>
  <c r="K82" i="25"/>
  <c r="P82" i="25"/>
  <c r="P86" i="25"/>
  <c r="K86" i="25"/>
  <c r="N86" i="25"/>
  <c r="N128" i="25"/>
  <c r="K128" i="25"/>
  <c r="P125" i="25"/>
  <c r="K125" i="25"/>
  <c r="K184" i="25"/>
  <c r="N184" i="25"/>
  <c r="P168" i="25"/>
  <c r="Q140" i="25"/>
  <c r="R140" i="25" s="1"/>
  <c r="Q166" i="25"/>
  <c r="R166" i="25" s="1"/>
  <c r="Q181" i="25"/>
  <c r="R181" i="25" s="1"/>
  <c r="Q188" i="25"/>
  <c r="R188" i="25" s="1"/>
  <c r="P177" i="25"/>
  <c r="P169" i="25"/>
  <c r="Q138" i="25"/>
  <c r="R138" i="25" s="1"/>
  <c r="N170" i="25"/>
  <c r="N156" i="25"/>
  <c r="K156" i="25"/>
  <c r="K96" i="25"/>
  <c r="P129" i="25"/>
  <c r="Q85" i="25"/>
  <c r="R85" i="25" s="1"/>
  <c r="K177" i="25"/>
  <c r="N75" i="25"/>
  <c r="N60" i="25"/>
  <c r="N126" i="25"/>
  <c r="Q126" i="25" s="1"/>
  <c r="R126" i="25" s="1"/>
  <c r="P75" i="25"/>
  <c r="N23" i="25"/>
  <c r="N43" i="25"/>
  <c r="K41" i="25"/>
  <c r="K44" i="25"/>
  <c r="P44" i="25"/>
  <c r="P88" i="25"/>
  <c r="N88" i="25"/>
  <c r="K69" i="25"/>
  <c r="N69" i="25"/>
  <c r="P117" i="25"/>
  <c r="N117" i="25"/>
  <c r="P130" i="25"/>
  <c r="N130" i="25"/>
  <c r="P133" i="25"/>
  <c r="N133" i="25"/>
  <c r="P51" i="25"/>
  <c r="Q51" i="25" s="1"/>
  <c r="R51" i="25" s="1"/>
  <c r="Q198" i="25"/>
  <c r="R198" i="25" s="1"/>
  <c r="K176" i="25"/>
  <c r="P178" i="25"/>
  <c r="Q180" i="25"/>
  <c r="R180" i="25" s="1"/>
  <c r="K134" i="25"/>
  <c r="K202" i="25"/>
  <c r="Q97" i="25"/>
  <c r="R97" i="25" s="1"/>
  <c r="K117" i="25"/>
  <c r="N125" i="25"/>
  <c r="K61" i="25"/>
  <c r="Q63" i="25"/>
  <c r="R63" i="25" s="1"/>
  <c r="P91" i="25"/>
  <c r="N93" i="25"/>
  <c r="K35" i="25"/>
  <c r="P47" i="25"/>
  <c r="Q47" i="25" s="1"/>
  <c r="R47" i="25" s="1"/>
  <c r="N35" i="25"/>
  <c r="Q33" i="25"/>
  <c r="R33" i="25" s="1"/>
  <c r="N37" i="25"/>
  <c r="N135" i="25"/>
  <c r="P135" i="25"/>
  <c r="K52" i="25"/>
  <c r="P52" i="25"/>
  <c r="K104" i="25"/>
  <c r="P104" i="25"/>
  <c r="P123" i="25"/>
  <c r="N123" i="25"/>
  <c r="P136" i="25"/>
  <c r="N136" i="25"/>
  <c r="P151" i="25"/>
  <c r="K151" i="25"/>
  <c r="K37" i="25"/>
  <c r="K194" i="25"/>
  <c r="N194" i="25"/>
  <c r="P176" i="25"/>
  <c r="N163" i="25"/>
  <c r="Q165" i="25"/>
  <c r="R165" i="25" s="1"/>
  <c r="K163" i="25"/>
  <c r="P149" i="25"/>
  <c r="N154" i="25"/>
  <c r="Q150" i="25"/>
  <c r="R150" i="25" s="1"/>
  <c r="Q196" i="25"/>
  <c r="R196" i="25" s="1"/>
  <c r="P128" i="25"/>
  <c r="N187" i="25"/>
  <c r="Q187" i="25" s="1"/>
  <c r="R187" i="25" s="1"/>
  <c r="N134" i="25"/>
  <c r="K101" i="25"/>
  <c r="Q79" i="25"/>
  <c r="R79" i="25" s="1"/>
  <c r="K111" i="25"/>
  <c r="N137" i="25"/>
  <c r="Q137" i="25" s="1"/>
  <c r="R137" i="25" s="1"/>
  <c r="P83" i="25"/>
  <c r="Q83" i="25" s="1"/>
  <c r="R83" i="25" s="1"/>
  <c r="N76" i="25"/>
  <c r="K154" i="25"/>
  <c r="N49" i="25"/>
  <c r="Q26" i="25"/>
  <c r="R26" i="25" s="1"/>
  <c r="P45" i="25"/>
  <c r="Q42" i="25"/>
  <c r="R42" i="25" s="1"/>
  <c r="P54" i="25"/>
  <c r="K54" i="25"/>
  <c r="Q106" i="25"/>
  <c r="R106" i="25" s="1"/>
  <c r="P153" i="25"/>
  <c r="K153" i="25"/>
  <c r="K189" i="25"/>
  <c r="N189" i="25"/>
  <c r="N197" i="25"/>
  <c r="K197" i="25"/>
  <c r="N53" i="25"/>
  <c r="N67" i="25"/>
  <c r="Q199" i="25"/>
  <c r="R199" i="25" s="1"/>
  <c r="Q145" i="25"/>
  <c r="R145" i="25" s="1"/>
  <c r="Q99" i="25"/>
  <c r="R99" i="25" s="1"/>
  <c r="Q89" i="25"/>
  <c r="R89" i="25" s="1"/>
  <c r="Q95" i="25"/>
  <c r="R95" i="25" s="1"/>
  <c r="K50" i="25"/>
  <c r="P50" i="25"/>
  <c r="P40" i="25"/>
  <c r="K40" i="25"/>
  <c r="Q90" i="25"/>
  <c r="R90" i="25" s="1"/>
  <c r="K66" i="25"/>
  <c r="N66" i="25"/>
  <c r="K74" i="25"/>
  <c r="N74" i="25"/>
  <c r="N147" i="25"/>
  <c r="K147" i="25"/>
  <c r="N116" i="25"/>
  <c r="K116" i="25"/>
  <c r="P107" i="25"/>
  <c r="K107" i="25"/>
  <c r="P142" i="25"/>
  <c r="N142" i="25"/>
  <c r="P159" i="25"/>
  <c r="K159" i="25"/>
  <c r="N192" i="25"/>
  <c r="K192" i="25"/>
  <c r="P184" i="25"/>
  <c r="Q94" i="25"/>
  <c r="R94" i="25" s="1"/>
  <c r="Q105" i="25"/>
  <c r="R105" i="25" s="1"/>
  <c r="N81" i="25"/>
  <c r="K81" i="25"/>
  <c r="N50" i="25"/>
  <c r="N40" i="25"/>
  <c r="P58" i="25"/>
  <c r="K58" i="25"/>
  <c r="N78" i="25"/>
  <c r="P78" i="25"/>
  <c r="K78" i="25"/>
  <c r="K120" i="25"/>
  <c r="N120" i="25"/>
  <c r="P115" i="25"/>
  <c r="K115" i="25"/>
  <c r="Q143" i="25"/>
  <c r="R143" i="25" s="1"/>
  <c r="P144" i="25"/>
  <c r="K144" i="25"/>
  <c r="P161" i="25"/>
  <c r="K161" i="25"/>
  <c r="P202" i="25"/>
  <c r="Q174" i="25"/>
  <c r="R174" i="25" s="1"/>
  <c r="N149" i="25"/>
  <c r="P141" i="25"/>
  <c r="Q141" i="25" s="1"/>
  <c r="R141" i="25" s="1"/>
  <c r="K142" i="25"/>
  <c r="N171" i="25"/>
  <c r="P120" i="25"/>
  <c r="Q127" i="25"/>
  <c r="R127" i="25" s="1"/>
  <c r="Q102" i="25"/>
  <c r="R102" i="25" s="1"/>
  <c r="N113" i="25"/>
  <c r="P69" i="25"/>
  <c r="K103" i="25"/>
  <c r="K146" i="25"/>
  <c r="N91" i="25"/>
  <c r="P76" i="25"/>
  <c r="N107" i="25"/>
  <c r="N44" i="25"/>
  <c r="P43" i="25"/>
  <c r="Q43" i="25" s="1"/>
  <c r="R43" i="25" s="1"/>
  <c r="N31" i="25"/>
  <c r="Q31" i="25" s="1"/>
  <c r="R31" i="25" s="1"/>
  <c r="K46" i="25"/>
  <c r="P46" i="25"/>
  <c r="N56" i="25"/>
  <c r="K56" i="25"/>
  <c r="P56" i="25"/>
  <c r="Q112" i="25"/>
  <c r="R112" i="25" s="1"/>
  <c r="N121" i="25"/>
  <c r="P121" i="25"/>
  <c r="Q64" i="25"/>
  <c r="R64" i="25" s="1"/>
  <c r="Q114" i="25"/>
  <c r="R114" i="25" s="1"/>
  <c r="P155" i="25"/>
  <c r="K155" i="25"/>
  <c r="K182" i="25"/>
  <c r="N182" i="25"/>
  <c r="N45" i="25"/>
  <c r="N54" i="25"/>
  <c r="Q169" i="25"/>
  <c r="R169" i="25" s="1"/>
  <c r="Q201" i="25"/>
  <c r="R201" i="25" s="1"/>
  <c r="N200" i="25"/>
  <c r="K200" i="25"/>
  <c r="Q185" i="25"/>
  <c r="R185" i="25" s="1"/>
  <c r="Q152" i="25"/>
  <c r="R152" i="25" s="1"/>
  <c r="K186" i="25"/>
  <c r="N186" i="25"/>
  <c r="P194" i="25"/>
  <c r="P195" i="25"/>
  <c r="Q195" i="25" s="1"/>
  <c r="R195" i="25" s="1"/>
  <c r="Q164" i="25"/>
  <c r="R164" i="25" s="1"/>
  <c r="K178" i="25"/>
  <c r="Q131" i="25"/>
  <c r="R131" i="25" s="1"/>
  <c r="N146" i="25"/>
  <c r="Q162" i="25"/>
  <c r="R162" i="25" s="1"/>
  <c r="Q119" i="25"/>
  <c r="R119" i="25" s="1"/>
  <c r="N103" i="25"/>
  <c r="P61" i="25"/>
  <c r="P109" i="25"/>
  <c r="Q109" i="25" s="1"/>
  <c r="R109" i="25" s="1"/>
  <c r="P60" i="25"/>
  <c r="N84" i="25"/>
  <c r="Q84" i="25" s="1"/>
  <c r="R84" i="25" s="1"/>
  <c r="N68" i="25"/>
  <c r="Q68" i="25" s="1"/>
  <c r="R68" i="25" s="1"/>
  <c r="K100" i="25"/>
  <c r="N77" i="25"/>
  <c r="Q77" i="25" s="1"/>
  <c r="R77" i="25" s="1"/>
  <c r="N24" i="25"/>
  <c r="N34" i="25"/>
  <c r="K29" i="25"/>
  <c r="Q28" i="25"/>
  <c r="R28" i="25" s="1"/>
  <c r="K48" i="25"/>
  <c r="W48" i="25" s="1"/>
  <c r="C16" i="32" s="1"/>
  <c r="P48" i="25"/>
  <c r="L22" i="25"/>
  <c r="P110" i="25"/>
  <c r="N110" i="25"/>
  <c r="N132" i="25"/>
  <c r="P132" i="25"/>
  <c r="P92" i="25"/>
  <c r="N92" i="25"/>
  <c r="Q124" i="25"/>
  <c r="R124" i="25" s="1"/>
  <c r="Q65" i="25"/>
  <c r="R65" i="25" s="1"/>
  <c r="N139" i="25"/>
  <c r="P139" i="25"/>
  <c r="N108" i="25"/>
  <c r="K108" i="25"/>
  <c r="Q122" i="25"/>
  <c r="R122" i="25" s="1"/>
  <c r="P157" i="25"/>
  <c r="K157" i="25"/>
  <c r="K34" i="25"/>
  <c r="N27" i="25"/>
  <c r="Q171" i="25" l="1"/>
  <c r="R171" i="25" s="1"/>
  <c r="Q129" i="25"/>
  <c r="R129" i="25" s="1"/>
  <c r="Q193" i="25"/>
  <c r="R193" i="25" s="1"/>
  <c r="Q49" i="25"/>
  <c r="R49" i="25" s="1"/>
  <c r="Q170" i="25"/>
  <c r="R170" i="25" s="1"/>
  <c r="L186" i="25"/>
  <c r="W186" i="25"/>
  <c r="L46" i="25"/>
  <c r="Q46" i="25" s="1"/>
  <c r="R46" i="25" s="1"/>
  <c r="W46" i="25"/>
  <c r="L103" i="25"/>
  <c r="Q103" i="25" s="1"/>
  <c r="R103" i="25" s="1"/>
  <c r="W103" i="25"/>
  <c r="L142" i="25"/>
  <c r="W142" i="25"/>
  <c r="L78" i="25"/>
  <c r="W78" i="25"/>
  <c r="L81" i="25"/>
  <c r="W81" i="25"/>
  <c r="L151" i="25"/>
  <c r="W151" i="25"/>
  <c r="L104" i="25"/>
  <c r="W104" i="25"/>
  <c r="L96" i="25"/>
  <c r="W96" i="25"/>
  <c r="L125" i="25"/>
  <c r="W125" i="25"/>
  <c r="L82" i="25"/>
  <c r="Q82" i="25" s="1"/>
  <c r="R82" i="25" s="1"/>
  <c r="W82" i="25"/>
  <c r="L157" i="25"/>
  <c r="W157" i="25"/>
  <c r="L108" i="25"/>
  <c r="W108" i="25"/>
  <c r="L178" i="25"/>
  <c r="W178" i="25"/>
  <c r="L144" i="25"/>
  <c r="Q144" i="25" s="1"/>
  <c r="R144" i="25" s="1"/>
  <c r="W144" i="25"/>
  <c r="L50" i="25"/>
  <c r="W50" i="25"/>
  <c r="L101" i="25"/>
  <c r="W101" i="25"/>
  <c r="L163" i="25"/>
  <c r="Q163" i="25" s="1"/>
  <c r="R163" i="25" s="1"/>
  <c r="W163" i="25"/>
  <c r="L35" i="25"/>
  <c r="Q35" i="25" s="1"/>
  <c r="R35" i="25" s="1"/>
  <c r="W35" i="25"/>
  <c r="L202" i="25"/>
  <c r="W202" i="25"/>
  <c r="L69" i="25"/>
  <c r="Q69" i="25" s="1"/>
  <c r="R69" i="25" s="1"/>
  <c r="W69" i="25"/>
  <c r="L156" i="25"/>
  <c r="W156" i="25"/>
  <c r="L59" i="25"/>
  <c r="Q59" i="25" s="1"/>
  <c r="R59" i="25" s="1"/>
  <c r="W59" i="25"/>
  <c r="K23" i="25"/>
  <c r="W23" i="25" s="1"/>
  <c r="L34" i="25"/>
  <c r="W34" i="25"/>
  <c r="L182" i="25"/>
  <c r="Q182" i="25" s="1"/>
  <c r="R182" i="25" s="1"/>
  <c r="W182" i="25"/>
  <c r="L74" i="25"/>
  <c r="W74" i="25"/>
  <c r="L197" i="25"/>
  <c r="W197" i="25"/>
  <c r="L52" i="25"/>
  <c r="W52" i="25"/>
  <c r="L134" i="25"/>
  <c r="Q134" i="25" s="1"/>
  <c r="R134" i="25" s="1"/>
  <c r="W134" i="25"/>
  <c r="L128" i="25"/>
  <c r="W128" i="25"/>
  <c r="L200" i="25"/>
  <c r="W200" i="25"/>
  <c r="L155" i="25"/>
  <c r="W155" i="25"/>
  <c r="L58" i="25"/>
  <c r="W58" i="25"/>
  <c r="L107" i="25"/>
  <c r="W107" i="25"/>
  <c r="L154" i="25"/>
  <c r="W154" i="25"/>
  <c r="L32" i="25"/>
  <c r="Q32" i="25" s="1"/>
  <c r="R32" i="25" s="1"/>
  <c r="W32" i="25"/>
  <c r="L29" i="25"/>
  <c r="W29" i="25"/>
  <c r="L115" i="25"/>
  <c r="W115" i="25"/>
  <c r="L66" i="25"/>
  <c r="W66" i="25"/>
  <c r="L54" i="25"/>
  <c r="W54" i="25"/>
  <c r="L56" i="25"/>
  <c r="Q56" i="25" s="1"/>
  <c r="R56" i="25" s="1"/>
  <c r="W56" i="25"/>
  <c r="L192" i="25"/>
  <c r="W192" i="25"/>
  <c r="L116" i="25"/>
  <c r="W116" i="25"/>
  <c r="L189" i="25"/>
  <c r="W189" i="25"/>
  <c r="L61" i="25"/>
  <c r="Q61" i="25" s="1"/>
  <c r="R61" i="25" s="1"/>
  <c r="W61" i="25"/>
  <c r="L44" i="25"/>
  <c r="Q44" i="25" s="1"/>
  <c r="R44" i="25" s="1"/>
  <c r="W44" i="25"/>
  <c r="L177" i="25"/>
  <c r="W177" i="25"/>
  <c r="L86" i="25"/>
  <c r="W86" i="25"/>
  <c r="L100" i="25"/>
  <c r="Q100" i="25" s="1"/>
  <c r="R100" i="25" s="1"/>
  <c r="W100" i="25"/>
  <c r="L40" i="25"/>
  <c r="W40" i="25"/>
  <c r="L194" i="25"/>
  <c r="W194" i="25"/>
  <c r="L41" i="25"/>
  <c r="W41" i="25"/>
  <c r="L146" i="25"/>
  <c r="Q146" i="25" s="1"/>
  <c r="R146" i="25" s="1"/>
  <c r="W146" i="25"/>
  <c r="L161" i="25"/>
  <c r="W161" i="25"/>
  <c r="L120" i="25"/>
  <c r="W120" i="25"/>
  <c r="L159" i="25"/>
  <c r="W159" i="25"/>
  <c r="L147" i="25"/>
  <c r="Q147" i="25" s="1"/>
  <c r="R147" i="25" s="1"/>
  <c r="W147" i="25"/>
  <c r="L153" i="25"/>
  <c r="Q153" i="25" s="1"/>
  <c r="R153" i="25" s="1"/>
  <c r="W153" i="25"/>
  <c r="L111" i="25"/>
  <c r="W111" i="25"/>
  <c r="L37" i="25"/>
  <c r="W37" i="25"/>
  <c r="L117" i="25"/>
  <c r="Q117" i="25" s="1"/>
  <c r="R117" i="25" s="1"/>
  <c r="W117" i="25"/>
  <c r="L176" i="25"/>
  <c r="W176" i="25"/>
  <c r="L184" i="25"/>
  <c r="W184" i="25"/>
  <c r="W44" i="29"/>
  <c r="D26" i="34" s="1"/>
  <c r="L48" i="25"/>
  <c r="Q149" i="25"/>
  <c r="R149" i="25" s="1"/>
  <c r="Q22" i="25"/>
  <c r="R22" i="25" s="1"/>
  <c r="Q92" i="25"/>
  <c r="R92" i="25" s="1"/>
  <c r="Q91" i="25"/>
  <c r="R91" i="25" s="1"/>
  <c r="Q76" i="25"/>
  <c r="R76" i="25" s="1"/>
  <c r="Q133" i="25"/>
  <c r="R133" i="25" s="1"/>
  <c r="Q60" i="25"/>
  <c r="R60" i="25" s="1"/>
  <c r="Q130" i="25"/>
  <c r="R130" i="25" s="1"/>
  <c r="Q123" i="25"/>
  <c r="R123" i="25" s="1"/>
  <c r="Q135" i="25"/>
  <c r="R135" i="25" s="1"/>
  <c r="Q168" i="25"/>
  <c r="R168" i="25" s="1"/>
  <c r="V33" i="29"/>
  <c r="Q50" i="25"/>
  <c r="R50" i="25" s="1"/>
  <c r="Q52" i="25"/>
  <c r="R52" i="25" s="1"/>
  <c r="Q34" i="25"/>
  <c r="R34" i="25" s="1"/>
  <c r="Q48" i="25"/>
  <c r="R48" i="25" s="1"/>
  <c r="Q155" i="25"/>
  <c r="R155" i="25" s="1"/>
  <c r="Q75" i="25"/>
  <c r="R75" i="25" s="1"/>
  <c r="Q192" i="25"/>
  <c r="R192" i="25" s="1"/>
  <c r="Q116" i="25"/>
  <c r="R116" i="25" s="1"/>
  <c r="Q101" i="25"/>
  <c r="R101" i="25" s="1"/>
  <c r="Q194" i="25"/>
  <c r="R194" i="25" s="1"/>
  <c r="Q157" i="25"/>
  <c r="R157" i="25" s="1"/>
  <c r="Q88" i="25"/>
  <c r="R88" i="25" s="1"/>
  <c r="Q93" i="25"/>
  <c r="R93" i="25" s="1"/>
  <c r="Q197" i="25"/>
  <c r="R197" i="25" s="1"/>
  <c r="Q37" i="25"/>
  <c r="R37" i="25" s="1"/>
  <c r="Q202" i="25"/>
  <c r="R202" i="25" s="1"/>
  <c r="Q128" i="25"/>
  <c r="R128" i="25" s="1"/>
  <c r="Q67" i="25"/>
  <c r="R67" i="25" s="1"/>
  <c r="Q159" i="25"/>
  <c r="R159" i="25" s="1"/>
  <c r="Q45" i="25"/>
  <c r="R45" i="25" s="1"/>
  <c r="Q154" i="25"/>
  <c r="R154" i="25" s="1"/>
  <c r="Q151" i="25"/>
  <c r="R151" i="25" s="1"/>
  <c r="Q132" i="25"/>
  <c r="R132" i="25" s="1"/>
  <c r="Q29" i="25"/>
  <c r="R29" i="25" s="1"/>
  <c r="Q58" i="25"/>
  <c r="R58" i="25" s="1"/>
  <c r="Q81" i="25"/>
  <c r="R81" i="25" s="1"/>
  <c r="Q104" i="25"/>
  <c r="R104" i="25" s="1"/>
  <c r="Q177" i="25"/>
  <c r="R177" i="25" s="1"/>
  <c r="Q200" i="25"/>
  <c r="R200" i="25" s="1"/>
  <c r="Q142" i="25"/>
  <c r="R142" i="25" s="1"/>
  <c r="Q115" i="25"/>
  <c r="R115" i="25" s="1"/>
  <c r="Q78" i="25"/>
  <c r="R78" i="25" s="1"/>
  <c r="Q40" i="25"/>
  <c r="R40" i="25" s="1"/>
  <c r="Q189" i="25"/>
  <c r="R189" i="25" s="1"/>
  <c r="Q53" i="25"/>
  <c r="R53" i="25" s="1"/>
  <c r="Q176" i="25"/>
  <c r="R176" i="25" s="1"/>
  <c r="Q41" i="25"/>
  <c r="R41" i="25" s="1"/>
  <c r="Q96" i="25"/>
  <c r="R96" i="25" s="1"/>
  <c r="Q184" i="25"/>
  <c r="R184" i="25" s="1"/>
  <c r="Q86" i="25"/>
  <c r="R86" i="25" s="1"/>
  <c r="Q121" i="25"/>
  <c r="R121" i="25" s="1"/>
  <c r="Q108" i="25"/>
  <c r="R108" i="25" s="1"/>
  <c r="L23" i="25"/>
  <c r="Q178" i="25"/>
  <c r="R178" i="25" s="1"/>
  <c r="Q74" i="25"/>
  <c r="R74" i="25" s="1"/>
  <c r="Q113" i="25"/>
  <c r="R113" i="25" s="1"/>
  <c r="Q111" i="25"/>
  <c r="R111" i="25" s="1"/>
  <c r="Q139" i="25"/>
  <c r="R139" i="25" s="1"/>
  <c r="Q156" i="25"/>
  <c r="R156" i="25" s="1"/>
  <c r="Q186" i="25"/>
  <c r="R186" i="25" s="1"/>
  <c r="Q120" i="25"/>
  <c r="R120" i="25" s="1"/>
  <c r="Q66" i="25"/>
  <c r="R66" i="25" s="1"/>
  <c r="Q54" i="25"/>
  <c r="R54" i="25" s="1"/>
  <c r="Q125" i="25"/>
  <c r="R125" i="25" s="1"/>
  <c r="Q110" i="25"/>
  <c r="R110" i="25" s="1"/>
  <c r="Q27" i="25"/>
  <c r="R27" i="25" s="1"/>
  <c r="Q161" i="25"/>
  <c r="R161" i="25" s="1"/>
  <c r="Q107" i="25"/>
  <c r="R107" i="25" s="1"/>
  <c r="Q136" i="25"/>
  <c r="R136" i="25" s="1"/>
  <c r="K25" i="25" l="1"/>
  <c r="W25" i="25" s="1"/>
  <c r="K24" i="25"/>
  <c r="W24" i="25" s="1"/>
  <c r="W45" i="29"/>
  <c r="D27" i="34" s="1"/>
  <c r="V32" i="29"/>
  <c r="Q23" i="25"/>
  <c r="R23" i="25" s="1"/>
  <c r="L25" i="25"/>
  <c r="L24" i="25"/>
  <c r="Q24" i="25" s="1"/>
  <c r="V36" i="29" l="1"/>
  <c r="V34" i="29"/>
  <c r="V35" i="29"/>
  <c r="R24" i="25"/>
  <c r="Q25" i="25"/>
  <c r="R25" i="25" s="1"/>
  <c r="W37" i="29" l="1"/>
  <c r="D19" i="34" s="1"/>
  <c r="W38" i="29" l="1"/>
  <c r="D20" i="34" s="1"/>
  <c r="W39" i="29" l="1"/>
  <c r="D21" i="34" s="1"/>
  <c r="W40" i="29" l="1"/>
  <c r="D22" i="34" s="1"/>
  <c r="W41" i="29" l="1"/>
  <c r="D23" i="34" s="1"/>
  <c r="V23" i="29" l="1"/>
  <c r="W24" i="29" l="1"/>
  <c r="D6" i="34" s="1"/>
  <c r="V24" i="29"/>
  <c r="W25" i="29" l="1"/>
  <c r="D7" i="34" s="1"/>
  <c r="V25" i="29"/>
  <c r="W26" i="29" l="1"/>
  <c r="D8" i="34" s="1"/>
  <c r="V26" i="29"/>
  <c r="W27" i="29" l="1"/>
  <c r="D9" i="34" s="1"/>
  <c r="V27" i="29"/>
  <c r="W28" i="29" l="1"/>
  <c r="D10" i="34" s="1"/>
  <c r="V29" i="29" l="1"/>
  <c r="V28" i="29"/>
  <c r="W29" i="29" s="1"/>
  <c r="D11" i="34" s="1"/>
  <c r="W30" i="29" l="1"/>
  <c r="D12" i="34" s="1"/>
  <c r="V30" i="29"/>
  <c r="W31" i="29" l="1"/>
  <c r="D13" i="34" s="1"/>
  <c r="V31" i="29"/>
  <c r="W33" i="29" s="1"/>
  <c r="D15" i="34" s="1"/>
  <c r="W34" i="29" l="1"/>
  <c r="D16" i="34" s="1"/>
  <c r="W35" i="29"/>
  <c r="D17" i="34" s="1"/>
  <c r="W36" i="29"/>
  <c r="D18" i="34" s="1"/>
  <c r="W32" i="29"/>
  <c r="D14" i="34" s="1"/>
  <c r="S22" i="25" l="1"/>
  <c r="U24" i="25" s="1"/>
  <c r="S23" i="25"/>
  <c r="T23" i="25" s="1"/>
  <c r="S95" i="25"/>
  <c r="S64" i="25"/>
  <c r="S118" i="25"/>
  <c r="S62" i="25"/>
  <c r="S204" i="25"/>
  <c r="S87" i="25"/>
  <c r="S114" i="25"/>
  <c r="S152" i="25"/>
  <c r="S71" i="25"/>
  <c r="S203" i="25"/>
  <c r="S122" i="25"/>
  <c r="S26" i="25"/>
  <c r="T26" i="25" s="1"/>
  <c r="S166" i="25"/>
  <c r="S119" i="25"/>
  <c r="S36" i="25"/>
  <c r="S164" i="25"/>
  <c r="S72" i="25"/>
  <c r="S97" i="25"/>
  <c r="S70" i="25"/>
  <c r="S188" i="25"/>
  <c r="S89" i="25"/>
  <c r="S145" i="25"/>
  <c r="S55" i="25"/>
  <c r="S137" i="25"/>
  <c r="S138" i="25"/>
  <c r="S32" i="25"/>
  <c r="S198" i="25"/>
  <c r="S187" i="25"/>
  <c r="S94" i="25"/>
  <c r="S195" i="25"/>
  <c r="S174" i="25"/>
  <c r="S73" i="25"/>
  <c r="S106" i="25"/>
  <c r="S63" i="25"/>
  <c r="S77" i="25"/>
  <c r="S80" i="25"/>
  <c r="S102" i="25"/>
  <c r="S85" i="25"/>
  <c r="S172" i="25"/>
  <c r="S65" i="25"/>
  <c r="S112" i="25"/>
  <c r="S191" i="25"/>
  <c r="S140" i="25"/>
  <c r="S38" i="25"/>
  <c r="S183" i="25"/>
  <c r="S57" i="25"/>
  <c r="S185" i="25"/>
  <c r="S162" i="25"/>
  <c r="S28" i="25"/>
  <c r="S173" i="25"/>
  <c r="S165" i="25"/>
  <c r="S31" i="25"/>
  <c r="S150" i="25"/>
  <c r="S149" i="25"/>
  <c r="S98" i="25"/>
  <c r="S196" i="25"/>
  <c r="S199" i="25"/>
  <c r="S133" i="25"/>
  <c r="S39" i="25"/>
  <c r="S175" i="25"/>
  <c r="S42" i="25"/>
  <c r="S90" i="25"/>
  <c r="S181" i="25"/>
  <c r="S99" i="25"/>
  <c r="S158" i="25"/>
  <c r="S79" i="25"/>
  <c r="S33" i="25"/>
  <c r="S201" i="25"/>
  <c r="S131" i="25"/>
  <c r="S83" i="25"/>
  <c r="S160" i="25"/>
  <c r="S148" i="25"/>
  <c r="S51" i="25"/>
  <c r="S169" i="25"/>
  <c r="S179" i="25"/>
  <c r="S143" i="25"/>
  <c r="S105" i="25"/>
  <c r="S124" i="25"/>
  <c r="S141" i="25"/>
  <c r="S167" i="25"/>
  <c r="S30" i="25"/>
  <c r="S190" i="25"/>
  <c r="S127" i="25"/>
  <c r="S180" i="25"/>
  <c r="S49" i="25"/>
  <c r="S123" i="25"/>
  <c r="S193" i="25"/>
  <c r="S101" i="25"/>
  <c r="S128" i="25"/>
  <c r="S147" i="25"/>
  <c r="S142" i="25"/>
  <c r="S176" i="25"/>
  <c r="S54" i="25"/>
  <c r="S117" i="25"/>
  <c r="S93" i="25"/>
  <c r="S88" i="25"/>
  <c r="S132" i="25"/>
  <c r="S52" i="25"/>
  <c r="S155" i="25"/>
  <c r="S134" i="25"/>
  <c r="S29" i="25"/>
  <c r="S104" i="25"/>
  <c r="S177" i="25"/>
  <c r="S40" i="25"/>
  <c r="S86" i="25"/>
  <c r="S178" i="25"/>
  <c r="S171" i="25"/>
  <c r="S75" i="25"/>
  <c r="S45" i="25"/>
  <c r="S91" i="25"/>
  <c r="S56" i="25"/>
  <c r="S192" i="25"/>
  <c r="S194" i="25"/>
  <c r="S103" i="25"/>
  <c r="S37" i="25"/>
  <c r="S46" i="25"/>
  <c r="S129" i="25"/>
  <c r="S41" i="25"/>
  <c r="S68" i="25"/>
  <c r="S156" i="25"/>
  <c r="S120" i="25"/>
  <c r="S113" i="25"/>
  <c r="S53" i="25"/>
  <c r="S27" i="25"/>
  <c r="T27" i="25" s="1"/>
  <c r="S34" i="25"/>
  <c r="S135" i="25"/>
  <c r="S154" i="25"/>
  <c r="S59" i="25"/>
  <c r="S58" i="25"/>
  <c r="S115" i="25"/>
  <c r="S189" i="25"/>
  <c r="S126" i="25"/>
  <c r="S170" i="25"/>
  <c r="S35" i="25"/>
  <c r="S43" i="25"/>
  <c r="S130" i="25"/>
  <c r="S110" i="25"/>
  <c r="S50" i="25"/>
  <c r="S139" i="25"/>
  <c r="S146" i="25"/>
  <c r="S61" i="25"/>
  <c r="S69" i="25"/>
  <c r="S136" i="25"/>
  <c r="S96" i="25"/>
  <c r="S74" i="25"/>
  <c r="S161" i="25"/>
  <c r="S67" i="25"/>
  <c r="S197" i="25"/>
  <c r="S159" i="25"/>
  <c r="S81" i="25"/>
  <c r="S78" i="25"/>
  <c r="S184" i="25"/>
  <c r="S125" i="25"/>
  <c r="S107" i="25"/>
  <c r="S109" i="25"/>
  <c r="S60" i="25"/>
  <c r="S121" i="25"/>
  <c r="S116" i="25"/>
  <c r="S202" i="25"/>
  <c r="S163" i="25"/>
  <c r="S168" i="25"/>
  <c r="S200" i="25"/>
  <c r="S108" i="25"/>
  <c r="S186" i="25"/>
  <c r="U192" i="25" s="1"/>
  <c r="S66" i="25"/>
  <c r="S153" i="25"/>
  <c r="S76" i="25"/>
  <c r="S47" i="25"/>
  <c r="S100" i="25"/>
  <c r="S92" i="25"/>
  <c r="S48" i="25"/>
  <c r="S157" i="25"/>
  <c r="S84" i="25"/>
  <c r="S151" i="25"/>
  <c r="U157" i="25" s="1"/>
  <c r="S82" i="25"/>
  <c r="S44" i="25"/>
  <c r="S111" i="25"/>
  <c r="S182" i="25"/>
  <c r="S144" i="25"/>
  <c r="S24" i="25"/>
  <c r="T24" i="25" s="1"/>
  <c r="S25" i="25"/>
  <c r="D8" i="3"/>
  <c r="G5" i="8"/>
  <c r="D22" i="4"/>
  <c r="E13" i="3"/>
  <c r="E7" i="5"/>
  <c r="E8" i="5"/>
  <c r="E6" i="5"/>
  <c r="D7" i="3"/>
  <c r="D6" i="3"/>
  <c r="D9" i="5"/>
  <c r="D10" i="4"/>
  <c r="D11" i="4"/>
  <c r="B34" i="4" s="1"/>
  <c r="D9" i="4"/>
  <c r="C24" i="4"/>
  <c r="I12" i="8" s="1"/>
  <c r="U31" i="25" l="1"/>
  <c r="T25" i="25"/>
  <c r="U122" i="25"/>
  <c r="U66" i="25"/>
  <c r="U136" i="25"/>
  <c r="U141" i="25" s="1"/>
  <c r="V24" i="25"/>
  <c r="U73" i="25"/>
  <c r="U77" i="25" s="1"/>
  <c r="U150" i="25"/>
  <c r="U152" i="25" s="1"/>
  <c r="U160" i="25"/>
  <c r="U161" i="25"/>
  <c r="U158" i="25"/>
  <c r="U159" i="25"/>
  <c r="U162" i="25"/>
  <c r="U163" i="25"/>
  <c r="U127" i="25"/>
  <c r="U128" i="25"/>
  <c r="U125" i="25"/>
  <c r="U124" i="25"/>
  <c r="U126" i="25"/>
  <c r="U123" i="25"/>
  <c r="U87" i="25"/>
  <c r="U129" i="25"/>
  <c r="U35" i="25"/>
  <c r="U33" i="25"/>
  <c r="U32" i="25"/>
  <c r="U37" i="25"/>
  <c r="U36" i="25"/>
  <c r="U34" i="25"/>
  <c r="U59" i="25"/>
  <c r="U108" i="25"/>
  <c r="U196" i="25"/>
  <c r="U197" i="25"/>
  <c r="U193" i="25"/>
  <c r="U195" i="25"/>
  <c r="U194" i="25"/>
  <c r="U198" i="25"/>
  <c r="U71" i="25"/>
  <c r="U69" i="25"/>
  <c r="U72" i="25"/>
  <c r="U68" i="25"/>
  <c r="U70" i="25"/>
  <c r="U67" i="25"/>
  <c r="U52" i="25"/>
  <c r="U115" i="25"/>
  <c r="U74" i="25"/>
  <c r="U78" i="25"/>
  <c r="U185" i="25"/>
  <c r="U171" i="25"/>
  <c r="U178" i="25"/>
  <c r="U38" i="25"/>
  <c r="U80" i="25"/>
  <c r="U164" i="25"/>
  <c r="U101" i="25"/>
  <c r="U140" i="25"/>
  <c r="U137" i="25"/>
  <c r="U138" i="25"/>
  <c r="U142" i="25"/>
  <c r="U45" i="25"/>
  <c r="U94" i="25"/>
  <c r="U143" i="25"/>
  <c r="U199" i="25"/>
  <c r="V59" i="25"/>
  <c r="V178" i="25"/>
  <c r="V45" i="25"/>
  <c r="V157" i="25"/>
  <c r="V122" i="25"/>
  <c r="V87" i="25"/>
  <c r="V129" i="25"/>
  <c r="V108" i="25"/>
  <c r="V192" i="25"/>
  <c r="V66" i="25"/>
  <c r="V150" i="25"/>
  <c r="V115" i="25"/>
  <c r="V73" i="25"/>
  <c r="V185" i="25"/>
  <c r="V171" i="25"/>
  <c r="V80" i="25"/>
  <c r="V164" i="25"/>
  <c r="V101" i="25"/>
  <c r="V136" i="25"/>
  <c r="V94" i="25"/>
  <c r="V143" i="25"/>
  <c r="V199" i="25"/>
  <c r="I123" i="8"/>
  <c r="I115" i="8"/>
  <c r="I107" i="8"/>
  <c r="I99" i="8"/>
  <c r="I91" i="8"/>
  <c r="I83" i="8"/>
  <c r="I75" i="8"/>
  <c r="I67" i="8"/>
  <c r="I59" i="8"/>
  <c r="I51" i="8"/>
  <c r="I43" i="8"/>
  <c r="I35" i="8"/>
  <c r="I27" i="8"/>
  <c r="I19" i="8"/>
  <c r="I11" i="8"/>
  <c r="I5" i="8"/>
  <c r="I122" i="8"/>
  <c r="I114" i="8"/>
  <c r="I106" i="8"/>
  <c r="I98" i="8"/>
  <c r="I90" i="8"/>
  <c r="I82" i="8"/>
  <c r="I74" i="8"/>
  <c r="I66" i="8"/>
  <c r="I58" i="8"/>
  <c r="I50" i="8"/>
  <c r="I42" i="8"/>
  <c r="I34" i="8"/>
  <c r="I26" i="8"/>
  <c r="I18" i="8"/>
  <c r="I10" i="8"/>
  <c r="I129" i="8"/>
  <c r="I121" i="8"/>
  <c r="I113" i="8"/>
  <c r="I105" i="8"/>
  <c r="I97" i="8"/>
  <c r="I89" i="8"/>
  <c r="I81" i="8"/>
  <c r="I73" i="8"/>
  <c r="I65" i="8"/>
  <c r="I57" i="8"/>
  <c r="I49" i="8"/>
  <c r="I41" i="8"/>
  <c r="I33" i="8"/>
  <c r="I25" i="8"/>
  <c r="I17" i="8"/>
  <c r="I9" i="8"/>
  <c r="I128" i="8"/>
  <c r="I120" i="8"/>
  <c r="I112" i="8"/>
  <c r="I104" i="8"/>
  <c r="I96" i="8"/>
  <c r="I88" i="8"/>
  <c r="I80" i="8"/>
  <c r="I72" i="8"/>
  <c r="I64" i="8"/>
  <c r="I56" i="8"/>
  <c r="I48" i="8"/>
  <c r="I40" i="8"/>
  <c r="I32" i="8"/>
  <c r="I24" i="8"/>
  <c r="I16" i="8"/>
  <c r="I8" i="8"/>
  <c r="I127" i="8"/>
  <c r="I119" i="8"/>
  <c r="I111" i="8"/>
  <c r="I103" i="8"/>
  <c r="I95" i="8"/>
  <c r="I87" i="8"/>
  <c r="I79" i="8"/>
  <c r="I71" i="8"/>
  <c r="I63" i="8"/>
  <c r="I55" i="8"/>
  <c r="I47" i="8"/>
  <c r="I39" i="8"/>
  <c r="I31" i="8"/>
  <c r="I23" i="8"/>
  <c r="I15" i="8"/>
  <c r="I7" i="8"/>
  <c r="I126" i="8"/>
  <c r="I118" i="8"/>
  <c r="I110" i="8"/>
  <c r="I102" i="8"/>
  <c r="I94" i="8"/>
  <c r="I86" i="8"/>
  <c r="I78" i="8"/>
  <c r="I70" i="8"/>
  <c r="I62" i="8"/>
  <c r="I54" i="8"/>
  <c r="I46" i="8"/>
  <c r="I38" i="8"/>
  <c r="I30" i="8"/>
  <c r="I22" i="8"/>
  <c r="I14" i="8"/>
  <c r="I6" i="8"/>
  <c r="I125" i="8"/>
  <c r="I117" i="8"/>
  <c r="I109" i="8"/>
  <c r="I101" i="8"/>
  <c r="I93" i="8"/>
  <c r="I85" i="8"/>
  <c r="I77" i="8"/>
  <c r="I69" i="8"/>
  <c r="I61" i="8"/>
  <c r="I53" i="8"/>
  <c r="I45" i="8"/>
  <c r="I37" i="8"/>
  <c r="I29" i="8"/>
  <c r="I21" i="8"/>
  <c r="I13" i="8"/>
  <c r="I124" i="8"/>
  <c r="I116" i="8"/>
  <c r="I108" i="8"/>
  <c r="I100" i="8"/>
  <c r="I92" i="8"/>
  <c r="I84" i="8"/>
  <c r="I76" i="8"/>
  <c r="I68" i="8"/>
  <c r="I60" i="8"/>
  <c r="I52" i="8"/>
  <c r="I44" i="8"/>
  <c r="I36" i="8"/>
  <c r="I28" i="8"/>
  <c r="I20" i="8"/>
  <c r="B35" i="4"/>
  <c r="G40" i="4"/>
  <c r="G41" i="4"/>
  <c r="G42" i="4"/>
  <c r="G43" i="4"/>
  <c r="G44" i="4"/>
  <c r="G45" i="4"/>
  <c r="G46" i="4"/>
  <c r="G47" i="4"/>
  <c r="G48" i="4"/>
  <c r="G49" i="4"/>
  <c r="G50" i="4"/>
  <c r="D50" i="4"/>
  <c r="D49" i="4"/>
  <c r="D48" i="4"/>
  <c r="D47" i="4"/>
  <c r="D46" i="4"/>
  <c r="D45" i="4"/>
  <c r="D44" i="4"/>
  <c r="D41" i="4"/>
  <c r="D42" i="4"/>
  <c r="C23" i="4" s="1"/>
  <c r="D43" i="4"/>
  <c r="D40" i="4"/>
  <c r="D39" i="4"/>
  <c r="C5" i="4"/>
  <c r="D5" i="4" s="1"/>
  <c r="C24" i="3"/>
  <c r="C25" i="3"/>
  <c r="C26"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23" i="3"/>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2" i="5"/>
  <c r="D13"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AC15" i="5"/>
  <c r="AE15" i="5" s="1"/>
  <c r="AA15" i="5"/>
  <c r="X15" i="5"/>
  <c r="Z15" i="5" s="1"/>
  <c r="AF14" i="5"/>
  <c r="AC14" i="5"/>
  <c r="AE14" i="5" s="1"/>
  <c r="AA14" i="5"/>
  <c r="X14" i="5"/>
  <c r="Z14" i="5" s="1"/>
  <c r="AF13" i="5"/>
  <c r="AC13" i="5"/>
  <c r="AE13" i="5" s="1"/>
  <c r="AA13" i="5"/>
  <c r="X13" i="5"/>
  <c r="Z13" i="5" s="1"/>
  <c r="AF12" i="5"/>
  <c r="AC12" i="5"/>
  <c r="AB12" i="5" s="1"/>
  <c r="AA12" i="5"/>
  <c r="X12" i="5"/>
  <c r="Z12" i="5" s="1"/>
  <c r="AF11" i="5"/>
  <c r="AC11" i="5"/>
  <c r="AB11" i="5" s="1"/>
  <c r="AA11" i="5"/>
  <c r="X11" i="5"/>
  <c r="Z11" i="5" s="1"/>
  <c r="AF10" i="5"/>
  <c r="AC10" i="5"/>
  <c r="AE10" i="5" s="1"/>
  <c r="AA10" i="5"/>
  <c r="X10" i="5"/>
  <c r="Z10" i="5" s="1"/>
  <c r="AF9" i="5"/>
  <c r="AC9" i="5"/>
  <c r="AG9" i="5" s="1"/>
  <c r="AI9" i="5" s="1"/>
  <c r="AA9" i="5"/>
  <c r="X9" i="5"/>
  <c r="Z9" i="5" s="1"/>
  <c r="AF8" i="5"/>
  <c r="AC8" i="5"/>
  <c r="AE8" i="5" s="1"/>
  <c r="AA8" i="5"/>
  <c r="X8" i="5"/>
  <c r="Z8" i="5" s="1"/>
  <c r="AF7" i="5"/>
  <c r="AC7" i="5"/>
  <c r="AE7" i="5" s="1"/>
  <c r="AA7" i="5"/>
  <c r="X7" i="5"/>
  <c r="Z7" i="5" s="1"/>
  <c r="AG6" i="5"/>
  <c r="AI6" i="5" s="1"/>
  <c r="AF6" i="5"/>
  <c r="AE6" i="5"/>
  <c r="AB6" i="5"/>
  <c r="AA6" i="5"/>
  <c r="Z6" i="5"/>
  <c r="AC6" i="3"/>
  <c r="AD6" i="3"/>
  <c r="AE6" i="3"/>
  <c r="AH6" i="3"/>
  <c r="AI6" i="3"/>
  <c r="AJ6" i="3"/>
  <c r="AL6" i="3" s="1"/>
  <c r="AA7" i="3"/>
  <c r="AC7" i="3" s="1"/>
  <c r="AD7" i="3"/>
  <c r="AF7" i="3"/>
  <c r="AE7" i="3" s="1"/>
  <c r="AI7" i="3"/>
  <c r="AA8" i="3"/>
  <c r="AC8" i="3" s="1"/>
  <c r="AD8" i="3"/>
  <c r="AF8" i="3"/>
  <c r="AH8" i="3" s="1"/>
  <c r="AI8" i="3"/>
  <c r="AA9" i="3"/>
  <c r="AC9" i="3" s="1"/>
  <c r="AD9" i="3"/>
  <c r="AF9" i="3"/>
  <c r="AJ9" i="3" s="1"/>
  <c r="AL9" i="3" s="1"/>
  <c r="AI9" i="3"/>
  <c r="AA10" i="3"/>
  <c r="AC10" i="3" s="1"/>
  <c r="AD10" i="3"/>
  <c r="AF10" i="3"/>
  <c r="AJ10" i="3" s="1"/>
  <c r="AL10" i="3" s="1"/>
  <c r="AI10" i="3"/>
  <c r="AF15" i="3"/>
  <c r="AJ15" i="3" s="1"/>
  <c r="AL15" i="3" s="1"/>
  <c r="AD15" i="3"/>
  <c r="AA15" i="3"/>
  <c r="AC15" i="3" s="1"/>
  <c r="AI14" i="3"/>
  <c r="AF14" i="3"/>
  <c r="AJ14" i="3" s="1"/>
  <c r="AL14" i="3" s="1"/>
  <c r="AD14" i="3"/>
  <c r="AA14" i="3"/>
  <c r="AC14" i="3" s="1"/>
  <c r="AI13" i="3"/>
  <c r="AF13" i="3"/>
  <c r="AH13" i="3" s="1"/>
  <c r="AD13" i="3"/>
  <c r="AA13" i="3"/>
  <c r="AC13" i="3" s="1"/>
  <c r="AI12" i="3"/>
  <c r="AF12" i="3"/>
  <c r="AH12" i="3" s="1"/>
  <c r="AD12" i="3"/>
  <c r="AA12" i="3"/>
  <c r="AC12" i="3" s="1"/>
  <c r="AI11" i="3"/>
  <c r="AF11" i="3"/>
  <c r="AE11" i="3" s="1"/>
  <c r="AD11" i="3"/>
  <c r="AA11" i="3"/>
  <c r="AC11" i="3" s="1"/>
  <c r="U79" i="25" l="1"/>
  <c r="U139" i="25"/>
  <c r="U75" i="25"/>
  <c r="U155" i="25"/>
  <c r="U76" i="25"/>
  <c r="U151" i="25"/>
  <c r="U154" i="25"/>
  <c r="U153" i="25"/>
  <c r="U156" i="25"/>
  <c r="U147" i="25"/>
  <c r="U149" i="25"/>
  <c r="U148" i="25"/>
  <c r="U145" i="25"/>
  <c r="U144" i="25"/>
  <c r="U146" i="25"/>
  <c r="U99" i="25"/>
  <c r="U100" i="25"/>
  <c r="U97" i="25"/>
  <c r="U96" i="25"/>
  <c r="U95" i="25"/>
  <c r="U98" i="25"/>
  <c r="U104" i="25"/>
  <c r="U102" i="25"/>
  <c r="U106" i="25"/>
  <c r="U103" i="25"/>
  <c r="U107" i="25"/>
  <c r="U105" i="25"/>
  <c r="U48" i="25"/>
  <c r="U49" i="25"/>
  <c r="U46" i="25"/>
  <c r="U47" i="25"/>
  <c r="U50" i="25"/>
  <c r="U51" i="25"/>
  <c r="U168" i="25"/>
  <c r="U169" i="25"/>
  <c r="U165" i="25"/>
  <c r="U166" i="25"/>
  <c r="U167" i="25"/>
  <c r="U170" i="25"/>
  <c r="U112" i="25"/>
  <c r="U113" i="25"/>
  <c r="U109" i="25"/>
  <c r="U110" i="25"/>
  <c r="U114" i="25"/>
  <c r="U111" i="25"/>
  <c r="U132" i="25"/>
  <c r="U131" i="25"/>
  <c r="U135" i="25"/>
  <c r="U133" i="25"/>
  <c r="U130" i="25"/>
  <c r="U134" i="25"/>
  <c r="U84" i="25"/>
  <c r="U85" i="25"/>
  <c r="U81" i="25"/>
  <c r="U83" i="25"/>
  <c r="U82" i="25"/>
  <c r="U86" i="25"/>
  <c r="U63" i="25"/>
  <c r="U65" i="25"/>
  <c r="U64" i="25"/>
  <c r="U61" i="25"/>
  <c r="U60" i="25"/>
  <c r="U62" i="25"/>
  <c r="U91" i="25"/>
  <c r="U93" i="25"/>
  <c r="U89" i="25"/>
  <c r="U92" i="25"/>
  <c r="U88" i="25"/>
  <c r="U90" i="25"/>
  <c r="U43" i="25"/>
  <c r="U44" i="25"/>
  <c r="U41" i="25"/>
  <c r="U40" i="25"/>
  <c r="U42" i="25"/>
  <c r="U39" i="25"/>
  <c r="U28" i="25"/>
  <c r="U29" i="25"/>
  <c r="U25" i="25"/>
  <c r="U26" i="25"/>
  <c r="U30" i="25"/>
  <c r="U27" i="25"/>
  <c r="U182" i="25"/>
  <c r="U183" i="25"/>
  <c r="U181" i="25"/>
  <c r="U180" i="25"/>
  <c r="U179" i="25"/>
  <c r="U184" i="25"/>
  <c r="U56" i="25"/>
  <c r="U53" i="25"/>
  <c r="U57" i="25"/>
  <c r="U54" i="25"/>
  <c r="U55" i="25"/>
  <c r="U58" i="25"/>
  <c r="U175" i="25"/>
  <c r="U172" i="25"/>
  <c r="U176" i="25"/>
  <c r="U177" i="25"/>
  <c r="U173" i="25"/>
  <c r="U174" i="25"/>
  <c r="U119" i="25"/>
  <c r="U120" i="25"/>
  <c r="U117" i="25"/>
  <c r="U116" i="25"/>
  <c r="U121" i="25"/>
  <c r="U118" i="25"/>
  <c r="U203" i="25"/>
  <c r="U201" i="25"/>
  <c r="U200" i="25"/>
  <c r="U204" i="25"/>
  <c r="U202" i="25"/>
  <c r="U188" i="25"/>
  <c r="U191" i="25"/>
  <c r="U186" i="25"/>
  <c r="U189" i="25"/>
  <c r="U190" i="25"/>
  <c r="U187" i="25"/>
  <c r="V84" i="25"/>
  <c r="V86" i="25"/>
  <c r="V85" i="25"/>
  <c r="V83" i="25"/>
  <c r="E45" i="34" s="1"/>
  <c r="F45" i="34" s="1"/>
  <c r="V82" i="25"/>
  <c r="E44" i="34" s="1"/>
  <c r="F44" i="34" s="1"/>
  <c r="V81" i="25"/>
  <c r="E43" i="34" s="1"/>
  <c r="F43" i="34" s="1"/>
  <c r="V156" i="25"/>
  <c r="V153" i="25"/>
  <c r="E93" i="34" s="1"/>
  <c r="F93" i="34" s="1"/>
  <c r="V154" i="25"/>
  <c r="E94" i="34" s="1"/>
  <c r="F94" i="34" s="1"/>
  <c r="V151" i="25"/>
  <c r="E91" i="34" s="1"/>
  <c r="F91" i="34" s="1"/>
  <c r="V155" i="25"/>
  <c r="E95" i="34" s="1"/>
  <c r="F95" i="34" s="1"/>
  <c r="V152" i="25"/>
  <c r="E92" i="34" s="1"/>
  <c r="F92" i="34" s="1"/>
  <c r="V128" i="25"/>
  <c r="V126" i="25"/>
  <c r="E74" i="34" s="1"/>
  <c r="F74" i="34" s="1"/>
  <c r="V124" i="25"/>
  <c r="E72" i="34" s="1"/>
  <c r="F72" i="34" s="1"/>
  <c r="V125" i="25"/>
  <c r="E73" i="34" s="1"/>
  <c r="F73" i="34" s="1"/>
  <c r="V123" i="25"/>
  <c r="E71" i="34" s="1"/>
  <c r="F71" i="34" s="1"/>
  <c r="V127" i="25"/>
  <c r="E75" i="34" s="1"/>
  <c r="F75" i="34" s="1"/>
  <c r="V38" i="25"/>
  <c r="V72" i="25"/>
  <c r="V68" i="25"/>
  <c r="E34" i="34" s="1"/>
  <c r="F34" i="34" s="1"/>
  <c r="V69" i="25"/>
  <c r="E35" i="34" s="1"/>
  <c r="F35" i="34" s="1"/>
  <c r="V67" i="25"/>
  <c r="E33" i="34" s="1"/>
  <c r="F33" i="34" s="1"/>
  <c r="V71" i="25"/>
  <c r="E37" i="34" s="1"/>
  <c r="F37" i="34" s="1"/>
  <c r="V70" i="25"/>
  <c r="E36" i="34" s="1"/>
  <c r="F36" i="34" s="1"/>
  <c r="V160" i="25"/>
  <c r="E98" i="34" s="1"/>
  <c r="F98" i="34" s="1"/>
  <c r="V162" i="25"/>
  <c r="E100" i="34" s="1"/>
  <c r="F100" i="34" s="1"/>
  <c r="V158" i="25"/>
  <c r="E96" i="34" s="1"/>
  <c r="F96" i="34" s="1"/>
  <c r="V161" i="25"/>
  <c r="E99" i="34" s="1"/>
  <c r="F99" i="34" s="1"/>
  <c r="V159" i="25"/>
  <c r="E97" i="34" s="1"/>
  <c r="F97" i="34" s="1"/>
  <c r="V163" i="25"/>
  <c r="V204" i="25"/>
  <c r="E129" i="34" s="1"/>
  <c r="F129" i="34" s="1"/>
  <c r="V202" i="25"/>
  <c r="E127" i="34" s="1"/>
  <c r="F127" i="34" s="1"/>
  <c r="V201" i="25"/>
  <c r="E126" i="34" s="1"/>
  <c r="F126" i="34" s="1"/>
  <c r="V200" i="25"/>
  <c r="E125" i="34" s="1"/>
  <c r="F125" i="34" s="1"/>
  <c r="V203" i="25"/>
  <c r="E128" i="34" s="1"/>
  <c r="F128" i="34" s="1"/>
  <c r="V176" i="25"/>
  <c r="E109" i="34" s="1"/>
  <c r="F109" i="34" s="1"/>
  <c r="V174" i="25"/>
  <c r="E107" i="34" s="1"/>
  <c r="F107" i="34" s="1"/>
  <c r="V173" i="25"/>
  <c r="E106" i="34" s="1"/>
  <c r="F106" i="34" s="1"/>
  <c r="V177" i="25"/>
  <c r="V175" i="25"/>
  <c r="E108" i="34" s="1"/>
  <c r="F108" i="34" s="1"/>
  <c r="V172" i="25"/>
  <c r="V196" i="25"/>
  <c r="E123" i="34" s="1"/>
  <c r="F123" i="34" s="1"/>
  <c r="V198" i="25"/>
  <c r="V197" i="25"/>
  <c r="E124" i="34" s="1"/>
  <c r="F124" i="34" s="1"/>
  <c r="V195" i="25"/>
  <c r="E122" i="34" s="1"/>
  <c r="F122" i="34" s="1"/>
  <c r="V194" i="25"/>
  <c r="E121" i="34" s="1"/>
  <c r="F121" i="34" s="1"/>
  <c r="V193" i="25"/>
  <c r="E120" i="34" s="1"/>
  <c r="F120" i="34" s="1"/>
  <c r="V48" i="25"/>
  <c r="E21" i="34" s="1"/>
  <c r="F21" i="34" s="1"/>
  <c r="V50" i="25"/>
  <c r="E23" i="34" s="1"/>
  <c r="F23" i="34" s="1"/>
  <c r="V46" i="25"/>
  <c r="E19" i="34" s="1"/>
  <c r="F19" i="34" s="1"/>
  <c r="V49" i="25"/>
  <c r="E22" i="34" s="1"/>
  <c r="F22" i="34" s="1"/>
  <c r="V47" i="25"/>
  <c r="E20" i="34" s="1"/>
  <c r="F20" i="34" s="1"/>
  <c r="V51" i="25"/>
  <c r="V148" i="25"/>
  <c r="E90" i="34" s="1"/>
  <c r="F90" i="34" s="1"/>
  <c r="V149" i="25"/>
  <c r="V146" i="25"/>
  <c r="E88" i="34" s="1"/>
  <c r="F88" i="34" s="1"/>
  <c r="V145" i="25"/>
  <c r="E87" i="34" s="1"/>
  <c r="F87" i="34" s="1"/>
  <c r="V147" i="25"/>
  <c r="E89" i="34" s="1"/>
  <c r="F89" i="34" s="1"/>
  <c r="V144" i="25"/>
  <c r="E86" i="34" s="1"/>
  <c r="F86" i="34" s="1"/>
  <c r="V184" i="25"/>
  <c r="V179" i="25"/>
  <c r="E110" i="34" s="1"/>
  <c r="F110" i="34" s="1"/>
  <c r="V180" i="25"/>
  <c r="E111" i="34" s="1"/>
  <c r="F111" i="34" s="1"/>
  <c r="V183" i="25"/>
  <c r="E114" i="34" s="1"/>
  <c r="F114" i="34" s="1"/>
  <c r="V181" i="25"/>
  <c r="E112" i="34" s="1"/>
  <c r="F112" i="34" s="1"/>
  <c r="V182" i="25"/>
  <c r="E113" i="34" s="1"/>
  <c r="F113" i="34" s="1"/>
  <c r="V100" i="25"/>
  <c r="V98" i="25"/>
  <c r="E54" i="34" s="1"/>
  <c r="F54" i="34" s="1"/>
  <c r="V95" i="25"/>
  <c r="E51" i="34" s="1"/>
  <c r="F51" i="34" s="1"/>
  <c r="V99" i="25"/>
  <c r="E55" i="34" s="1"/>
  <c r="F55" i="34" s="1"/>
  <c r="V96" i="25"/>
  <c r="E52" i="34" s="1"/>
  <c r="F52" i="34" s="1"/>
  <c r="V97" i="25"/>
  <c r="E53" i="34" s="1"/>
  <c r="F53" i="34" s="1"/>
  <c r="V188" i="25"/>
  <c r="E117" i="34" s="1"/>
  <c r="F117" i="34" s="1"/>
  <c r="V190" i="25"/>
  <c r="E119" i="34" s="1"/>
  <c r="F119" i="34" s="1"/>
  <c r="V186" i="25"/>
  <c r="E115" i="34" s="1"/>
  <c r="F115" i="34" s="1"/>
  <c r="V187" i="25"/>
  <c r="E116" i="34" s="1"/>
  <c r="F116" i="34" s="1"/>
  <c r="V189" i="25"/>
  <c r="E118" i="34" s="1"/>
  <c r="F118" i="34" s="1"/>
  <c r="V191" i="25"/>
  <c r="V52" i="25"/>
  <c r="V64" i="25"/>
  <c r="E32" i="34" s="1"/>
  <c r="F32" i="34" s="1"/>
  <c r="V65" i="25"/>
  <c r="V62" i="25"/>
  <c r="E30" i="34" s="1"/>
  <c r="F30" i="34" s="1"/>
  <c r="V61" i="25"/>
  <c r="E29" i="34" s="1"/>
  <c r="F29" i="34" s="1"/>
  <c r="V63" i="25"/>
  <c r="E31" i="34" s="1"/>
  <c r="F31" i="34" s="1"/>
  <c r="V60" i="25"/>
  <c r="E28" i="34" s="1"/>
  <c r="F28" i="34" s="1"/>
  <c r="V140" i="25"/>
  <c r="E84" i="34" s="1"/>
  <c r="F84" i="34" s="1"/>
  <c r="V142" i="25"/>
  <c r="V141" i="25"/>
  <c r="E85" i="34" s="1"/>
  <c r="F85" i="34" s="1"/>
  <c r="V139" i="25"/>
  <c r="E83" i="34" s="1"/>
  <c r="F83" i="34" s="1"/>
  <c r="V138" i="25"/>
  <c r="E82" i="34" s="1"/>
  <c r="F82" i="34" s="1"/>
  <c r="V137" i="25"/>
  <c r="E81" i="34" s="1"/>
  <c r="F81" i="34" s="1"/>
  <c r="V112" i="25"/>
  <c r="E64" i="34" s="1"/>
  <c r="F64" i="34" s="1"/>
  <c r="V111" i="25"/>
  <c r="E63" i="34" s="1"/>
  <c r="F63" i="34" s="1"/>
  <c r="V110" i="25"/>
  <c r="E62" i="34" s="1"/>
  <c r="F62" i="34" s="1"/>
  <c r="V109" i="25"/>
  <c r="E61" i="34" s="1"/>
  <c r="F61" i="34" s="1"/>
  <c r="V114" i="25"/>
  <c r="V113" i="25"/>
  <c r="E65" i="34" s="1"/>
  <c r="F65" i="34" s="1"/>
  <c r="V31" i="25"/>
  <c r="V104" i="25"/>
  <c r="E58" i="34" s="1"/>
  <c r="F58" i="34" s="1"/>
  <c r="V106" i="25"/>
  <c r="E60" i="34" s="1"/>
  <c r="F60" i="34" s="1"/>
  <c r="V102" i="25"/>
  <c r="E56" i="34" s="1"/>
  <c r="F56" i="34" s="1"/>
  <c r="V103" i="25"/>
  <c r="E57" i="34" s="1"/>
  <c r="F57" i="34" s="1"/>
  <c r="V107" i="25"/>
  <c r="V105" i="25"/>
  <c r="E59" i="34" s="1"/>
  <c r="F59" i="34" s="1"/>
  <c r="V76" i="25"/>
  <c r="E40" i="34" s="1"/>
  <c r="F40" i="34" s="1"/>
  <c r="V78" i="25"/>
  <c r="E42" i="34" s="1"/>
  <c r="F42" i="34" s="1"/>
  <c r="V74" i="25"/>
  <c r="E38" i="34" s="1"/>
  <c r="F38" i="34" s="1"/>
  <c r="V77" i="25"/>
  <c r="E41" i="34" s="1"/>
  <c r="F41" i="34" s="1"/>
  <c r="V75" i="25"/>
  <c r="E39" i="34" s="1"/>
  <c r="F39" i="34" s="1"/>
  <c r="V79" i="25"/>
  <c r="V132" i="25"/>
  <c r="E78" i="34" s="1"/>
  <c r="F78" i="34" s="1"/>
  <c r="V134" i="25"/>
  <c r="E80" i="34" s="1"/>
  <c r="F80" i="34" s="1"/>
  <c r="V130" i="25"/>
  <c r="E76" i="34" s="1"/>
  <c r="F76" i="34" s="1"/>
  <c r="V131" i="25"/>
  <c r="E77" i="34" s="1"/>
  <c r="F77" i="34" s="1"/>
  <c r="V135" i="25"/>
  <c r="V133" i="25"/>
  <c r="E79" i="34" s="1"/>
  <c r="F79" i="34" s="1"/>
  <c r="V28" i="25"/>
  <c r="E9" i="34" s="1"/>
  <c r="F9" i="34" s="1"/>
  <c r="V27" i="25"/>
  <c r="E8" i="34" s="1"/>
  <c r="F8" i="34" s="1"/>
  <c r="V26" i="25"/>
  <c r="E7" i="34" s="1"/>
  <c r="F7" i="34" s="1"/>
  <c r="V25" i="25"/>
  <c r="E6" i="34" s="1"/>
  <c r="F6" i="34" s="1"/>
  <c r="J6" i="34" s="1"/>
  <c r="V30" i="25"/>
  <c r="V29" i="25"/>
  <c r="E10" i="34" s="1"/>
  <c r="F10" i="34" s="1"/>
  <c r="V168" i="25"/>
  <c r="E104" i="34" s="1"/>
  <c r="F104" i="34" s="1"/>
  <c r="V169" i="25"/>
  <c r="E105" i="34" s="1"/>
  <c r="F105" i="34" s="1"/>
  <c r="V167" i="25"/>
  <c r="E103" i="34" s="1"/>
  <c r="F103" i="34" s="1"/>
  <c r="V166" i="25"/>
  <c r="E102" i="34" s="1"/>
  <c r="F102" i="34" s="1"/>
  <c r="V165" i="25"/>
  <c r="E101" i="34" s="1"/>
  <c r="F101" i="34" s="1"/>
  <c r="V170" i="25"/>
  <c r="V120" i="25"/>
  <c r="E70" i="34" s="1"/>
  <c r="F70" i="34" s="1"/>
  <c r="V117" i="25"/>
  <c r="E67" i="34" s="1"/>
  <c r="F67" i="34" s="1"/>
  <c r="V121" i="25"/>
  <c r="V118" i="25"/>
  <c r="E68" i="34" s="1"/>
  <c r="F68" i="34" s="1"/>
  <c r="V116" i="25"/>
  <c r="E66" i="34" s="1"/>
  <c r="F66" i="34" s="1"/>
  <c r="V119" i="25"/>
  <c r="E69" i="34" s="1"/>
  <c r="F69" i="34" s="1"/>
  <c r="V92" i="25"/>
  <c r="E50" i="34" s="1"/>
  <c r="F50" i="34" s="1"/>
  <c r="V90" i="25"/>
  <c r="E48" i="34" s="1"/>
  <c r="F48" i="34" s="1"/>
  <c r="V89" i="25"/>
  <c r="E47" i="34" s="1"/>
  <c r="F47" i="34" s="1"/>
  <c r="V93" i="25"/>
  <c r="V91" i="25"/>
  <c r="E49" i="34" s="1"/>
  <c r="F49" i="34" s="1"/>
  <c r="V88" i="25"/>
  <c r="E46" i="34" s="1"/>
  <c r="F46" i="34" s="1"/>
  <c r="D11" i="25"/>
  <c r="C11" i="32" s="1"/>
  <c r="H70" i="8"/>
  <c r="H78" i="8"/>
  <c r="H71" i="8"/>
  <c r="H79" i="8"/>
  <c r="H72" i="8"/>
  <c r="H80" i="8"/>
  <c r="H65" i="8"/>
  <c r="H73" i="8"/>
  <c r="H81" i="8"/>
  <c r="H66" i="8"/>
  <c r="H74" i="8"/>
  <c r="H82" i="8"/>
  <c r="H67" i="8"/>
  <c r="H75" i="8"/>
  <c r="H83" i="8"/>
  <c r="H68" i="8"/>
  <c r="H76" i="8"/>
  <c r="H84" i="8"/>
  <c r="H69" i="8"/>
  <c r="H77" i="8"/>
  <c r="H85" i="8"/>
  <c r="H30" i="8"/>
  <c r="H38" i="8"/>
  <c r="H31" i="8"/>
  <c r="H39" i="8"/>
  <c r="H24" i="8"/>
  <c r="H32" i="8"/>
  <c r="H40" i="8"/>
  <c r="H25" i="8"/>
  <c r="H33" i="8"/>
  <c r="H41" i="8"/>
  <c r="H26" i="8"/>
  <c r="H34" i="8"/>
  <c r="H42" i="8"/>
  <c r="H27" i="8"/>
  <c r="H35" i="8"/>
  <c r="H43" i="8"/>
  <c r="H28" i="8"/>
  <c r="H36" i="8"/>
  <c r="H44" i="8"/>
  <c r="H29" i="8"/>
  <c r="H37" i="8"/>
  <c r="H6" i="8"/>
  <c r="H14" i="8"/>
  <c r="H22" i="8"/>
  <c r="H7" i="8"/>
  <c r="H15" i="8"/>
  <c r="H23" i="8"/>
  <c r="H8" i="8"/>
  <c r="H16" i="8"/>
  <c r="H9" i="8"/>
  <c r="H17" i="8"/>
  <c r="H10" i="8"/>
  <c r="H18" i="8"/>
  <c r="H5" i="8"/>
  <c r="H11" i="8"/>
  <c r="H19" i="8"/>
  <c r="H12" i="8"/>
  <c r="H20" i="8"/>
  <c r="H13" i="8"/>
  <c r="H21" i="8"/>
  <c r="H46" i="8"/>
  <c r="H54" i="8"/>
  <c r="H62" i="8"/>
  <c r="H47" i="8"/>
  <c r="H55" i="8"/>
  <c r="H63" i="8"/>
  <c r="H48" i="8"/>
  <c r="H56" i="8"/>
  <c r="H64" i="8"/>
  <c r="H49" i="8"/>
  <c r="H57" i="8"/>
  <c r="H50" i="8"/>
  <c r="H58" i="8"/>
  <c r="H51" i="8"/>
  <c r="H59" i="8"/>
  <c r="H52" i="8"/>
  <c r="H60" i="8"/>
  <c r="H45" i="8"/>
  <c r="H53" i="8"/>
  <c r="H61" i="8"/>
  <c r="H86" i="8"/>
  <c r="H94" i="8"/>
  <c r="H102" i="8"/>
  <c r="H87" i="8"/>
  <c r="H95" i="8"/>
  <c r="H103" i="8"/>
  <c r="H88" i="8"/>
  <c r="H96" i="8"/>
  <c r="H104" i="8"/>
  <c r="H89" i="8"/>
  <c r="H97" i="8"/>
  <c r="H105" i="8"/>
  <c r="H90" i="8"/>
  <c r="H98" i="8"/>
  <c r="H106" i="8"/>
  <c r="H91" i="8"/>
  <c r="H99" i="8"/>
  <c r="H107" i="8"/>
  <c r="H92" i="8"/>
  <c r="H100" i="8"/>
  <c r="H93" i="8"/>
  <c r="H101" i="8"/>
  <c r="H110" i="8"/>
  <c r="H118" i="8"/>
  <c r="H126" i="8"/>
  <c r="H111" i="8"/>
  <c r="H119" i="8"/>
  <c r="H127" i="8"/>
  <c r="H112" i="8"/>
  <c r="H120" i="8"/>
  <c r="H128" i="8"/>
  <c r="H113" i="8"/>
  <c r="H121" i="8"/>
  <c r="H129" i="8"/>
  <c r="H114" i="8"/>
  <c r="H122" i="8"/>
  <c r="H115" i="8"/>
  <c r="H123" i="8"/>
  <c r="H108" i="8"/>
  <c r="H116" i="8"/>
  <c r="H124" i="8"/>
  <c r="H109" i="8"/>
  <c r="H117" i="8"/>
  <c r="H125" i="8"/>
  <c r="AM13" i="3"/>
  <c r="E23" i="3" s="1"/>
  <c r="D9" i="3"/>
  <c r="AB8" i="5"/>
  <c r="AH9" i="3"/>
  <c r="AH10" i="3"/>
  <c r="AG11" i="5"/>
  <c r="AI11" i="5" s="1"/>
  <c r="AB15" i="5"/>
  <c r="AB7" i="5"/>
  <c r="AB14" i="5"/>
  <c r="AG7" i="5"/>
  <c r="AI7" i="5" s="1"/>
  <c r="AB9" i="5"/>
  <c r="AE11" i="5"/>
  <c r="AE12" i="5"/>
  <c r="AB10" i="5"/>
  <c r="AG12" i="5"/>
  <c r="AI12" i="5" s="1"/>
  <c r="AG10" i="5"/>
  <c r="AI10" i="5" s="1"/>
  <c r="AE9" i="5"/>
  <c r="AG8" i="5"/>
  <c r="AI8" i="5" s="1"/>
  <c r="AG14" i="5"/>
  <c r="AI14" i="5" s="1"/>
  <c r="AG15" i="5"/>
  <c r="AI15" i="5" s="1"/>
  <c r="AG13" i="5"/>
  <c r="AI13" i="5" s="1"/>
  <c r="AB13" i="5"/>
  <c r="AE13" i="3"/>
  <c r="AE8" i="3"/>
  <c r="AE15" i="3"/>
  <c r="AJ8" i="3"/>
  <c r="AL8" i="3" s="1"/>
  <c r="AJ7" i="3"/>
  <c r="AL7" i="3" s="1"/>
  <c r="AE10" i="3"/>
  <c r="AE9" i="3"/>
  <c r="AH7" i="3"/>
  <c r="AE12" i="3"/>
  <c r="AE14" i="3"/>
  <c r="AJ12" i="3"/>
  <c r="AL12" i="3" s="1"/>
  <c r="AJ13" i="3"/>
  <c r="AH15" i="3"/>
  <c r="AJ11" i="3"/>
  <c r="AL11" i="3" s="1"/>
  <c r="AH14" i="3"/>
  <c r="AH11" i="3"/>
  <c r="V56" i="25" l="1"/>
  <c r="E26" i="34" s="1"/>
  <c r="F26" i="34" s="1"/>
  <c r="V53" i="25"/>
  <c r="V58" i="25"/>
  <c r="V57" i="25"/>
  <c r="E27" i="34" s="1"/>
  <c r="F27" i="34" s="1"/>
  <c r="V55" i="25"/>
  <c r="E25" i="34" s="1"/>
  <c r="F25" i="34" s="1"/>
  <c r="V54" i="25"/>
  <c r="E24" i="34" s="1"/>
  <c r="F24" i="34" s="1"/>
  <c r="V44" i="25"/>
  <c r="V41" i="25"/>
  <c r="E16" i="34" s="1"/>
  <c r="F16" i="34" s="1"/>
  <c r="V43" i="25"/>
  <c r="E18" i="34" s="1"/>
  <c r="F18" i="34" s="1"/>
  <c r="V42" i="25"/>
  <c r="E17" i="34" s="1"/>
  <c r="F17" i="34" s="1"/>
  <c r="V40" i="25"/>
  <c r="E15" i="34" s="1"/>
  <c r="F15" i="34" s="1"/>
  <c r="V39" i="25"/>
  <c r="V36" i="25"/>
  <c r="V34" i="25"/>
  <c r="E13" i="34" s="1"/>
  <c r="F13" i="34" s="1"/>
  <c r="V33" i="25"/>
  <c r="E12" i="34" s="1"/>
  <c r="F12" i="34" s="1"/>
  <c r="V37" i="25"/>
  <c r="V32" i="25"/>
  <c r="E11" i="34" s="1"/>
  <c r="F11" i="34" s="1"/>
  <c r="V35" i="25"/>
  <c r="E14" i="34" s="1"/>
  <c r="F14" i="34" s="1"/>
  <c r="D12" i="25"/>
  <c r="C9" i="32" s="1"/>
  <c r="K22" i="5"/>
  <c r="W22" i="5" s="1"/>
  <c r="N56" i="3"/>
  <c r="N80" i="3"/>
  <c r="N120" i="3"/>
  <c r="N144" i="3"/>
  <c r="N73" i="3"/>
  <c r="N113" i="3"/>
  <c r="N137" i="3"/>
  <c r="N58" i="3"/>
  <c r="N122" i="3"/>
  <c r="N99" i="3"/>
  <c r="N55" i="3"/>
  <c r="N143" i="3"/>
  <c r="N84" i="3"/>
  <c r="N53" i="3"/>
  <c r="N61" i="3"/>
  <c r="N69" i="3"/>
  <c r="N77" i="3"/>
  <c r="N93" i="3"/>
  <c r="N101" i="3"/>
  <c r="N117" i="3"/>
  <c r="N133" i="3"/>
  <c r="N141" i="3"/>
  <c r="N30" i="3"/>
  <c r="N38" i="3"/>
  <c r="N46" i="3"/>
  <c r="N54" i="3"/>
  <c r="N62" i="3"/>
  <c r="N70" i="3"/>
  <c r="N102" i="3"/>
  <c r="N110" i="3"/>
  <c r="N118" i="3"/>
  <c r="N126" i="3"/>
  <c r="N134" i="3"/>
  <c r="N103" i="3"/>
  <c r="N135" i="3"/>
  <c r="N31" i="3"/>
  <c r="N29" i="3"/>
  <c r="N45" i="3"/>
  <c r="N78" i="3"/>
  <c r="N86" i="3"/>
  <c r="N94" i="3"/>
  <c r="N142" i="3"/>
  <c r="N127" i="3"/>
  <c r="N24" i="3"/>
  <c r="N32" i="3"/>
  <c r="N40" i="3"/>
  <c r="N48" i="3"/>
  <c r="N64" i="3"/>
  <c r="N72" i="3"/>
  <c r="N88" i="3"/>
  <c r="N96" i="3"/>
  <c r="N104" i="3"/>
  <c r="N112" i="3"/>
  <c r="N128" i="3"/>
  <c r="N136" i="3"/>
  <c r="N71" i="3"/>
  <c r="N25" i="3"/>
  <c r="N33" i="3"/>
  <c r="N41" i="3"/>
  <c r="N49" i="3"/>
  <c r="N57" i="3"/>
  <c r="N65" i="3"/>
  <c r="N81" i="3"/>
  <c r="N89" i="3"/>
  <c r="N97" i="3"/>
  <c r="N105" i="3"/>
  <c r="N121" i="3"/>
  <c r="N129" i="3"/>
  <c r="N145" i="3"/>
  <c r="N87" i="3"/>
  <c r="N26" i="3"/>
  <c r="N34" i="3"/>
  <c r="N42" i="3"/>
  <c r="N50" i="3"/>
  <c r="N66" i="3"/>
  <c r="N82" i="3"/>
  <c r="N90" i="3"/>
  <c r="N98" i="3"/>
  <c r="N106" i="3"/>
  <c r="N114" i="3"/>
  <c r="N130" i="3"/>
  <c r="N138" i="3"/>
  <c r="N146" i="3"/>
  <c r="N63" i="3"/>
  <c r="N119" i="3"/>
  <c r="N27" i="3"/>
  <c r="N35" i="3"/>
  <c r="N51" i="3"/>
  <c r="N59" i="3"/>
  <c r="N67" i="3"/>
  <c r="N75" i="3"/>
  <c r="N83" i="3"/>
  <c r="N91" i="3"/>
  <c r="N107" i="3"/>
  <c r="N115" i="3"/>
  <c r="N123" i="3"/>
  <c r="N131" i="3"/>
  <c r="N139" i="3"/>
  <c r="N147" i="3"/>
  <c r="N85" i="3"/>
  <c r="N47" i="3"/>
  <c r="N95" i="3"/>
  <c r="N28" i="3"/>
  <c r="N36" i="3"/>
  <c r="N44" i="3"/>
  <c r="N52" i="3"/>
  <c r="N60" i="3"/>
  <c r="N68" i="3"/>
  <c r="N76" i="3"/>
  <c r="N92" i="3"/>
  <c r="N100" i="3"/>
  <c r="N108" i="3"/>
  <c r="N116" i="3"/>
  <c r="N124" i="3"/>
  <c r="N132" i="3"/>
  <c r="N140" i="3"/>
  <c r="N37" i="3"/>
  <c r="N109" i="3"/>
  <c r="N125" i="3"/>
  <c r="N39" i="3"/>
  <c r="N79" i="3"/>
  <c r="N111" i="3"/>
  <c r="N74" i="3"/>
  <c r="AL13" i="3"/>
  <c r="L22" i="5" l="1"/>
  <c r="E24" i="3"/>
  <c r="K23" i="3"/>
  <c r="K23" i="5"/>
  <c r="W23" i="5" s="1"/>
  <c r="N200" i="5"/>
  <c r="P200" i="5"/>
  <c r="K200" i="5"/>
  <c r="W200" i="5" s="1"/>
  <c r="P198" i="5"/>
  <c r="N198" i="5"/>
  <c r="K198" i="5"/>
  <c r="W198" i="5" s="1"/>
  <c r="N53" i="5"/>
  <c r="P53" i="5"/>
  <c r="K53" i="5"/>
  <c r="W53" i="5" s="1"/>
  <c r="P154" i="5"/>
  <c r="K154" i="5"/>
  <c r="W154" i="5" s="1"/>
  <c r="N145" i="5"/>
  <c r="P145" i="5"/>
  <c r="K145" i="5"/>
  <c r="W145" i="5" s="1"/>
  <c r="N48" i="5"/>
  <c r="P48" i="5"/>
  <c r="K48" i="5"/>
  <c r="W48" i="5" s="1"/>
  <c r="P97" i="5"/>
  <c r="N97" i="5"/>
  <c r="K97" i="5"/>
  <c r="W97" i="5" s="1"/>
  <c r="N143" i="5"/>
  <c r="P143" i="5"/>
  <c r="K143" i="5"/>
  <c r="W143" i="5" s="1"/>
  <c r="N190" i="5"/>
  <c r="P190" i="5"/>
  <c r="K190" i="5"/>
  <c r="W190" i="5" s="1"/>
  <c r="N62" i="5"/>
  <c r="P62" i="5"/>
  <c r="K62" i="5"/>
  <c r="W62" i="5" s="1"/>
  <c r="P109" i="5"/>
  <c r="K109" i="5"/>
  <c r="W109" i="5" s="1"/>
  <c r="P164" i="5"/>
  <c r="K164" i="5"/>
  <c r="P36" i="5"/>
  <c r="N36" i="5"/>
  <c r="K36" i="5"/>
  <c r="W36" i="5" s="1"/>
  <c r="P91" i="5"/>
  <c r="K91" i="5"/>
  <c r="W91" i="5" s="1"/>
  <c r="N82" i="5"/>
  <c r="P82" i="5"/>
  <c r="K82" i="5"/>
  <c r="W82" i="5" s="1"/>
  <c r="P22" i="5"/>
  <c r="N22" i="5"/>
  <c r="N120" i="5"/>
  <c r="P120" i="5"/>
  <c r="K120" i="5"/>
  <c r="W120" i="5" s="1"/>
  <c r="N113" i="5"/>
  <c r="P113" i="5"/>
  <c r="K113" i="5"/>
  <c r="W113" i="5" s="1"/>
  <c r="P201" i="5"/>
  <c r="N201" i="5"/>
  <c r="K201" i="5"/>
  <c r="W201" i="5" s="1"/>
  <c r="N136" i="5"/>
  <c r="P136" i="5"/>
  <c r="K136" i="5"/>
  <c r="W136" i="5" s="1"/>
  <c r="P65" i="5"/>
  <c r="N65" i="5"/>
  <c r="K65" i="5"/>
  <c r="W65" i="5" s="1"/>
  <c r="N199" i="5"/>
  <c r="P199" i="5"/>
  <c r="K199" i="5"/>
  <c r="W199" i="5" s="1"/>
  <c r="P135" i="5"/>
  <c r="N135" i="5"/>
  <c r="K135" i="5"/>
  <c r="W135" i="5" s="1"/>
  <c r="N71" i="5"/>
  <c r="P71" i="5"/>
  <c r="K71" i="5"/>
  <c r="W71" i="5" s="1"/>
  <c r="N182" i="5"/>
  <c r="P182" i="5"/>
  <c r="K182" i="5"/>
  <c r="W182" i="5" s="1"/>
  <c r="N118" i="5"/>
  <c r="P118" i="5"/>
  <c r="K118" i="5"/>
  <c r="W118" i="5" s="1"/>
  <c r="N54" i="5"/>
  <c r="P54" i="5"/>
  <c r="K54" i="5"/>
  <c r="W54" i="5" s="1"/>
  <c r="P165" i="5"/>
  <c r="K165" i="5"/>
  <c r="W165" i="5" s="1"/>
  <c r="N101" i="5"/>
  <c r="P101" i="5"/>
  <c r="K101" i="5"/>
  <c r="W101" i="5" s="1"/>
  <c r="P37" i="5"/>
  <c r="N37" i="5"/>
  <c r="K37" i="5"/>
  <c r="W37" i="5" s="1"/>
  <c r="P156" i="5"/>
  <c r="N156" i="5"/>
  <c r="K156" i="5"/>
  <c r="W156" i="5" s="1"/>
  <c r="P92" i="5"/>
  <c r="N92" i="5"/>
  <c r="K92" i="5"/>
  <c r="W92" i="5" s="1"/>
  <c r="P28" i="5"/>
  <c r="N28" i="5"/>
  <c r="K28" i="5"/>
  <c r="W28" i="5" s="1"/>
  <c r="P147" i="5"/>
  <c r="N147" i="5"/>
  <c r="K147" i="5"/>
  <c r="W147" i="5" s="1"/>
  <c r="N83" i="5"/>
  <c r="P83" i="5"/>
  <c r="K83" i="5"/>
  <c r="W83" i="5" s="1"/>
  <c r="P202" i="5"/>
  <c r="K202" i="5"/>
  <c r="W202" i="5" s="1"/>
  <c r="N138" i="5"/>
  <c r="P138" i="5"/>
  <c r="K138" i="5"/>
  <c r="W138" i="5" s="1"/>
  <c r="N74" i="5"/>
  <c r="P74" i="5"/>
  <c r="K74" i="5"/>
  <c r="W74" i="5" s="1"/>
  <c r="P177" i="5"/>
  <c r="N177" i="5"/>
  <c r="K177" i="5"/>
  <c r="W177" i="5" s="1"/>
  <c r="N151" i="5"/>
  <c r="P151" i="5"/>
  <c r="K151" i="5"/>
  <c r="W151" i="5" s="1"/>
  <c r="P70" i="5"/>
  <c r="N70" i="5"/>
  <c r="K70" i="5"/>
  <c r="W70" i="5" s="1"/>
  <c r="P172" i="5"/>
  <c r="N172" i="5"/>
  <c r="K172" i="5"/>
  <c r="W172" i="5" s="1"/>
  <c r="N163" i="5"/>
  <c r="P163" i="5"/>
  <c r="K163" i="5"/>
  <c r="W163" i="5" s="1"/>
  <c r="N35" i="5"/>
  <c r="P35" i="5"/>
  <c r="K35" i="5"/>
  <c r="W35" i="5" s="1"/>
  <c r="N152" i="5"/>
  <c r="P152" i="5"/>
  <c r="K152" i="5"/>
  <c r="W152" i="5" s="1"/>
  <c r="N168" i="5"/>
  <c r="P168" i="5"/>
  <c r="K168" i="5"/>
  <c r="W168" i="5" s="1"/>
  <c r="P32" i="5"/>
  <c r="N32" i="5"/>
  <c r="K32" i="5"/>
  <c r="W32" i="5" s="1"/>
  <c r="N79" i="5"/>
  <c r="P79" i="5"/>
  <c r="K79" i="5"/>
  <c r="W79" i="5" s="1"/>
  <c r="N126" i="5"/>
  <c r="P126" i="5"/>
  <c r="K126" i="5"/>
  <c r="W126" i="5" s="1"/>
  <c r="N173" i="5"/>
  <c r="P173" i="5"/>
  <c r="K173" i="5"/>
  <c r="W173" i="5" s="1"/>
  <c r="N45" i="5"/>
  <c r="P45" i="5"/>
  <c r="K45" i="5"/>
  <c r="W45" i="5" s="1"/>
  <c r="P100" i="5"/>
  <c r="N100" i="5"/>
  <c r="K100" i="5"/>
  <c r="W100" i="5" s="1"/>
  <c r="N155" i="5"/>
  <c r="P155" i="5"/>
  <c r="K155" i="5"/>
  <c r="W155" i="5" s="1"/>
  <c r="P27" i="5"/>
  <c r="K27" i="5"/>
  <c r="W27" i="5" s="1"/>
  <c r="N146" i="5"/>
  <c r="P146" i="5"/>
  <c r="K146" i="5"/>
  <c r="W146" i="5" s="1"/>
  <c r="P25" i="5"/>
  <c r="N25" i="5"/>
  <c r="N88" i="5"/>
  <c r="P88" i="5"/>
  <c r="K88" i="5"/>
  <c r="W88" i="5" s="1"/>
  <c r="P81" i="5"/>
  <c r="K81" i="5"/>
  <c r="W81" i="5" s="1"/>
  <c r="P169" i="5"/>
  <c r="N169" i="5"/>
  <c r="K169" i="5"/>
  <c r="W169" i="5" s="1"/>
  <c r="N104" i="5"/>
  <c r="P104" i="5"/>
  <c r="K104" i="5"/>
  <c r="W104" i="5" s="1"/>
  <c r="P33" i="5"/>
  <c r="N33" i="5"/>
  <c r="K33" i="5"/>
  <c r="W33" i="5" s="1"/>
  <c r="N191" i="5"/>
  <c r="P191" i="5"/>
  <c r="K191" i="5"/>
  <c r="W191" i="5" s="1"/>
  <c r="N127" i="5"/>
  <c r="P127" i="5"/>
  <c r="K127" i="5"/>
  <c r="W127" i="5" s="1"/>
  <c r="N63" i="5"/>
  <c r="P63" i="5"/>
  <c r="K63" i="5"/>
  <c r="W63" i="5" s="1"/>
  <c r="P174" i="5"/>
  <c r="N174" i="5"/>
  <c r="K174" i="5"/>
  <c r="W174" i="5" s="1"/>
  <c r="N110" i="5"/>
  <c r="P110" i="5"/>
  <c r="K110" i="5"/>
  <c r="W110" i="5" s="1"/>
  <c r="N46" i="5"/>
  <c r="P46" i="5"/>
  <c r="K46" i="5"/>
  <c r="W46" i="5" s="1"/>
  <c r="P157" i="5"/>
  <c r="K157" i="5"/>
  <c r="W157" i="5" s="1"/>
  <c r="P93" i="5"/>
  <c r="N93" i="5"/>
  <c r="K93" i="5"/>
  <c r="W93" i="5" s="1"/>
  <c r="P29" i="5"/>
  <c r="K29" i="5"/>
  <c r="W29" i="5" s="1"/>
  <c r="P148" i="5"/>
  <c r="N148" i="5"/>
  <c r="K148" i="5"/>
  <c r="W148" i="5" s="1"/>
  <c r="P84" i="5"/>
  <c r="N84" i="5"/>
  <c r="K84" i="5"/>
  <c r="W84" i="5" s="1"/>
  <c r="N203" i="5"/>
  <c r="P203" i="5"/>
  <c r="K203" i="5"/>
  <c r="W203" i="5" s="1"/>
  <c r="P139" i="5"/>
  <c r="N139" i="5"/>
  <c r="K139" i="5"/>
  <c r="W139" i="5" s="1"/>
  <c r="P75" i="5"/>
  <c r="N75" i="5"/>
  <c r="K75" i="5"/>
  <c r="W75" i="5" s="1"/>
  <c r="N194" i="5"/>
  <c r="P194" i="5"/>
  <c r="K194" i="5"/>
  <c r="W194" i="5" s="1"/>
  <c r="N130" i="5"/>
  <c r="P130" i="5"/>
  <c r="K130" i="5"/>
  <c r="W130" i="5" s="1"/>
  <c r="N66" i="5"/>
  <c r="P66" i="5"/>
  <c r="K66" i="5"/>
  <c r="W66" i="5" s="1"/>
  <c r="N129" i="5"/>
  <c r="K129" i="5"/>
  <c r="W129" i="5" s="1"/>
  <c r="P129" i="5"/>
  <c r="N117" i="5"/>
  <c r="P117" i="5"/>
  <c r="K117" i="5"/>
  <c r="W117" i="5" s="1"/>
  <c r="N90" i="5"/>
  <c r="P90" i="5"/>
  <c r="K90" i="5"/>
  <c r="W90" i="5" s="1"/>
  <c r="N24" i="5"/>
  <c r="P24" i="5"/>
  <c r="N72" i="5"/>
  <c r="P72" i="5"/>
  <c r="K72" i="5"/>
  <c r="W72" i="5" s="1"/>
  <c r="P119" i="5"/>
  <c r="N119" i="5"/>
  <c r="K119" i="5"/>
  <c r="W119" i="5" s="1"/>
  <c r="N166" i="5"/>
  <c r="P166" i="5"/>
  <c r="K166" i="5"/>
  <c r="W166" i="5" s="1"/>
  <c r="P149" i="5"/>
  <c r="K149" i="5"/>
  <c r="W149" i="5" s="1"/>
  <c r="P140" i="5"/>
  <c r="N140" i="5"/>
  <c r="K140" i="5"/>
  <c r="W140" i="5" s="1"/>
  <c r="P131" i="5"/>
  <c r="N131" i="5"/>
  <c r="K131" i="5"/>
  <c r="W131" i="5" s="1"/>
  <c r="P67" i="5"/>
  <c r="K67" i="5"/>
  <c r="W67" i="5" s="1"/>
  <c r="N186" i="5"/>
  <c r="P186" i="5"/>
  <c r="K186" i="5"/>
  <c r="W186" i="5" s="1"/>
  <c r="N23" i="5"/>
  <c r="P23" i="5"/>
  <c r="P185" i="5"/>
  <c r="N185" i="5"/>
  <c r="K185" i="5"/>
  <c r="W185" i="5" s="1"/>
  <c r="N176" i="5"/>
  <c r="P176" i="5"/>
  <c r="K176" i="5"/>
  <c r="W176" i="5" s="1"/>
  <c r="N105" i="5"/>
  <c r="P105" i="5"/>
  <c r="K105" i="5"/>
  <c r="W105" i="5" s="1"/>
  <c r="N40" i="5"/>
  <c r="P40" i="5"/>
  <c r="K40" i="5"/>
  <c r="W40" i="5" s="1"/>
  <c r="P160" i="5"/>
  <c r="N160" i="5"/>
  <c r="K160" i="5"/>
  <c r="W160" i="5" s="1"/>
  <c r="N175" i="5"/>
  <c r="P175" i="5"/>
  <c r="K175" i="5"/>
  <c r="W175" i="5" s="1"/>
  <c r="N111" i="5"/>
  <c r="P111" i="5"/>
  <c r="K111" i="5"/>
  <c r="W111" i="5" s="1"/>
  <c r="N47" i="5"/>
  <c r="P47" i="5"/>
  <c r="K47" i="5"/>
  <c r="W47" i="5" s="1"/>
  <c r="N158" i="5"/>
  <c r="P158" i="5"/>
  <c r="K158" i="5"/>
  <c r="W158" i="5" s="1"/>
  <c r="N94" i="5"/>
  <c r="P94" i="5"/>
  <c r="K94" i="5"/>
  <c r="W94" i="5" s="1"/>
  <c r="N30" i="5"/>
  <c r="P30" i="5"/>
  <c r="K30" i="5"/>
  <c r="W30" i="5" s="1"/>
  <c r="P141" i="5"/>
  <c r="N141" i="5"/>
  <c r="K141" i="5"/>
  <c r="W141" i="5" s="1"/>
  <c r="P77" i="5"/>
  <c r="N77" i="5"/>
  <c r="K77" i="5"/>
  <c r="W77" i="5" s="1"/>
  <c r="P196" i="5"/>
  <c r="N196" i="5"/>
  <c r="K196" i="5"/>
  <c r="W196" i="5" s="1"/>
  <c r="P132" i="5"/>
  <c r="N132" i="5"/>
  <c r="K132" i="5"/>
  <c r="W132" i="5" s="1"/>
  <c r="P68" i="5"/>
  <c r="N68" i="5"/>
  <c r="K68" i="5"/>
  <c r="W68" i="5" s="1"/>
  <c r="N187" i="5"/>
  <c r="P187" i="5"/>
  <c r="K187" i="5"/>
  <c r="W187" i="5" s="1"/>
  <c r="P123" i="5"/>
  <c r="N123" i="5"/>
  <c r="K123" i="5"/>
  <c r="W123" i="5" s="1"/>
  <c r="P59" i="5"/>
  <c r="N59" i="5"/>
  <c r="K59" i="5"/>
  <c r="W59" i="5" s="1"/>
  <c r="N178" i="5"/>
  <c r="P178" i="5"/>
  <c r="K178" i="5"/>
  <c r="W178" i="5" s="1"/>
  <c r="N114" i="5"/>
  <c r="P114" i="5"/>
  <c r="K114" i="5"/>
  <c r="W114" i="5" s="1"/>
  <c r="N50" i="5"/>
  <c r="P50" i="5"/>
  <c r="K50" i="5"/>
  <c r="W50" i="5" s="1"/>
  <c r="N80" i="5"/>
  <c r="P80" i="5"/>
  <c r="K80" i="5"/>
  <c r="W80" i="5" s="1"/>
  <c r="P87" i="5"/>
  <c r="N87" i="5"/>
  <c r="K87" i="5"/>
  <c r="W87" i="5" s="1"/>
  <c r="N181" i="5"/>
  <c r="P181" i="5"/>
  <c r="K181" i="5"/>
  <c r="W181" i="5" s="1"/>
  <c r="P108" i="5"/>
  <c r="N108" i="5"/>
  <c r="K108" i="5"/>
  <c r="W108" i="5" s="1"/>
  <c r="P99" i="5"/>
  <c r="N99" i="5"/>
  <c r="K99" i="5"/>
  <c r="W99" i="5" s="1"/>
  <c r="N56" i="5"/>
  <c r="P56" i="5"/>
  <c r="K56" i="5"/>
  <c r="W56" i="5" s="1"/>
  <c r="P137" i="5"/>
  <c r="N137" i="5"/>
  <c r="K137" i="5"/>
  <c r="W137" i="5" s="1"/>
  <c r="N183" i="5"/>
  <c r="P183" i="5"/>
  <c r="K183" i="5"/>
  <c r="W183" i="5" s="1"/>
  <c r="N102" i="5"/>
  <c r="P102" i="5"/>
  <c r="K102" i="5"/>
  <c r="W102" i="5" s="1"/>
  <c r="P85" i="5"/>
  <c r="N85" i="5"/>
  <c r="K85" i="5"/>
  <c r="W85" i="5" s="1"/>
  <c r="P76" i="5"/>
  <c r="N76" i="5"/>
  <c r="K76" i="5"/>
  <c r="W76" i="5" s="1"/>
  <c r="P58" i="5"/>
  <c r="K58" i="5"/>
  <c r="W58" i="5" s="1"/>
  <c r="N153" i="5"/>
  <c r="P153" i="5"/>
  <c r="K153" i="5"/>
  <c r="W153" i="5" s="1"/>
  <c r="P121" i="5"/>
  <c r="N121" i="5"/>
  <c r="K121" i="5"/>
  <c r="W121" i="5" s="1"/>
  <c r="N144" i="5"/>
  <c r="P144" i="5"/>
  <c r="K144" i="5"/>
  <c r="W144" i="5" s="1"/>
  <c r="N73" i="5"/>
  <c r="P73" i="5"/>
  <c r="K73" i="5"/>
  <c r="W73" i="5" s="1"/>
  <c r="N193" i="5"/>
  <c r="P193" i="5"/>
  <c r="K193" i="5"/>
  <c r="W193" i="5" s="1"/>
  <c r="N128" i="5"/>
  <c r="P128" i="5"/>
  <c r="K128" i="5"/>
  <c r="W128" i="5" s="1"/>
  <c r="P167" i="5"/>
  <c r="N167" i="5"/>
  <c r="K167" i="5"/>
  <c r="W167" i="5" s="1"/>
  <c r="N103" i="5"/>
  <c r="P103" i="5"/>
  <c r="K103" i="5"/>
  <c r="W103" i="5" s="1"/>
  <c r="P39" i="5"/>
  <c r="N39" i="5"/>
  <c r="K39" i="5"/>
  <c r="W39" i="5" s="1"/>
  <c r="N150" i="5"/>
  <c r="P150" i="5"/>
  <c r="K150" i="5"/>
  <c r="W150" i="5" s="1"/>
  <c r="P86" i="5"/>
  <c r="N86" i="5"/>
  <c r="K86" i="5"/>
  <c r="W86" i="5" s="1"/>
  <c r="P197" i="5"/>
  <c r="K197" i="5"/>
  <c r="W197" i="5" s="1"/>
  <c r="N133" i="5"/>
  <c r="P133" i="5"/>
  <c r="K133" i="5"/>
  <c r="W133" i="5" s="1"/>
  <c r="P69" i="5"/>
  <c r="K69" i="5"/>
  <c r="W69" i="5" s="1"/>
  <c r="P188" i="5"/>
  <c r="K188" i="5"/>
  <c r="P124" i="5"/>
  <c r="N124" i="5"/>
  <c r="K124" i="5"/>
  <c r="W124" i="5" s="1"/>
  <c r="P60" i="5"/>
  <c r="N60" i="5"/>
  <c r="K60" i="5"/>
  <c r="W60" i="5" s="1"/>
  <c r="N179" i="5"/>
  <c r="P179" i="5"/>
  <c r="K179" i="5"/>
  <c r="W179" i="5" s="1"/>
  <c r="N115" i="5"/>
  <c r="P115" i="5"/>
  <c r="K115" i="5"/>
  <c r="W115" i="5" s="1"/>
  <c r="P51" i="5"/>
  <c r="N51" i="5"/>
  <c r="K51" i="5"/>
  <c r="W51" i="5" s="1"/>
  <c r="N170" i="5"/>
  <c r="P170" i="5"/>
  <c r="K170" i="5"/>
  <c r="W170" i="5" s="1"/>
  <c r="P106" i="5"/>
  <c r="K106" i="5"/>
  <c r="W106" i="5" s="1"/>
  <c r="N42" i="5"/>
  <c r="P42" i="5"/>
  <c r="K42" i="5"/>
  <c r="W42" i="5" s="1"/>
  <c r="N184" i="5"/>
  <c r="P184" i="5"/>
  <c r="K184" i="5"/>
  <c r="W184" i="5" s="1"/>
  <c r="N64" i="5"/>
  <c r="P64" i="5"/>
  <c r="K64" i="5"/>
  <c r="W64" i="5" s="1"/>
  <c r="N134" i="5"/>
  <c r="P134" i="5"/>
  <c r="K134" i="5"/>
  <c r="W134" i="5" s="1"/>
  <c r="P44" i="5"/>
  <c r="N44" i="5"/>
  <c r="K44" i="5"/>
  <c r="W44" i="5" s="1"/>
  <c r="K26" i="5"/>
  <c r="W26" i="5" s="1"/>
  <c r="P26" i="5"/>
  <c r="N26" i="5"/>
  <c r="P49" i="5"/>
  <c r="N49" i="5"/>
  <c r="K49" i="5"/>
  <c r="W49" i="5" s="1"/>
  <c r="N192" i="5"/>
  <c r="P192" i="5"/>
  <c r="K192" i="5"/>
  <c r="W192" i="5" s="1"/>
  <c r="N55" i="5"/>
  <c r="P55" i="5"/>
  <c r="K55" i="5"/>
  <c r="W55" i="5" s="1"/>
  <c r="N38" i="5"/>
  <c r="P38" i="5"/>
  <c r="K38" i="5"/>
  <c r="W38" i="5" s="1"/>
  <c r="P204" i="5"/>
  <c r="K204" i="5"/>
  <c r="N195" i="5"/>
  <c r="P195" i="5"/>
  <c r="K195" i="5"/>
  <c r="W195" i="5" s="1"/>
  <c r="N122" i="5"/>
  <c r="P122" i="5"/>
  <c r="K122" i="5"/>
  <c r="W122" i="5" s="1"/>
  <c r="P57" i="5"/>
  <c r="N57" i="5"/>
  <c r="K57" i="5"/>
  <c r="W57" i="5" s="1"/>
  <c r="P89" i="5"/>
  <c r="N89" i="5"/>
  <c r="K89" i="5"/>
  <c r="W89" i="5" s="1"/>
  <c r="N112" i="5"/>
  <c r="P112" i="5"/>
  <c r="K112" i="5"/>
  <c r="W112" i="5" s="1"/>
  <c r="N41" i="5"/>
  <c r="P41" i="5"/>
  <c r="K41" i="5"/>
  <c r="W41" i="5" s="1"/>
  <c r="N161" i="5"/>
  <c r="P161" i="5"/>
  <c r="K161" i="5"/>
  <c r="W161" i="5" s="1"/>
  <c r="P96" i="5"/>
  <c r="N96" i="5"/>
  <c r="K96" i="5"/>
  <c r="W96" i="5" s="1"/>
  <c r="P159" i="5"/>
  <c r="N159" i="5"/>
  <c r="K159" i="5"/>
  <c r="W159" i="5" s="1"/>
  <c r="N95" i="5"/>
  <c r="P95" i="5"/>
  <c r="K95" i="5"/>
  <c r="W95" i="5" s="1"/>
  <c r="P31" i="5"/>
  <c r="N31" i="5"/>
  <c r="K31" i="5"/>
  <c r="W31" i="5" s="1"/>
  <c r="P142" i="5"/>
  <c r="N142" i="5"/>
  <c r="K142" i="5"/>
  <c r="W142" i="5" s="1"/>
  <c r="P78" i="5"/>
  <c r="N78" i="5"/>
  <c r="K78" i="5"/>
  <c r="W78" i="5" s="1"/>
  <c r="P189" i="5"/>
  <c r="N189" i="5"/>
  <c r="K189" i="5"/>
  <c r="W189" i="5" s="1"/>
  <c r="P125" i="5"/>
  <c r="K125" i="5"/>
  <c r="W125" i="5" s="1"/>
  <c r="P61" i="5"/>
  <c r="K61" i="5"/>
  <c r="W61" i="5" s="1"/>
  <c r="P180" i="5"/>
  <c r="K180" i="5"/>
  <c r="P116" i="5"/>
  <c r="N116" i="5"/>
  <c r="K116" i="5"/>
  <c r="W116" i="5" s="1"/>
  <c r="P52" i="5"/>
  <c r="N52" i="5"/>
  <c r="K52" i="5"/>
  <c r="W52" i="5" s="1"/>
  <c r="N171" i="5"/>
  <c r="P171" i="5"/>
  <c r="K171" i="5"/>
  <c r="W171" i="5" s="1"/>
  <c r="N107" i="5"/>
  <c r="P107" i="5"/>
  <c r="K107" i="5"/>
  <c r="W107" i="5" s="1"/>
  <c r="N43" i="5"/>
  <c r="P43" i="5"/>
  <c r="K43" i="5"/>
  <c r="W43" i="5" s="1"/>
  <c r="N162" i="5"/>
  <c r="P162" i="5"/>
  <c r="K162" i="5"/>
  <c r="W162" i="5" s="1"/>
  <c r="N98" i="5"/>
  <c r="P98" i="5"/>
  <c r="K98" i="5"/>
  <c r="W98" i="5" s="1"/>
  <c r="N34" i="5"/>
  <c r="P34" i="5"/>
  <c r="K34" i="5"/>
  <c r="W34" i="5" s="1"/>
  <c r="N43" i="3"/>
  <c r="D11" i="3"/>
  <c r="P23" i="3"/>
  <c r="N23" i="3"/>
  <c r="P53" i="3"/>
  <c r="P144" i="3"/>
  <c r="P102" i="3"/>
  <c r="P38" i="3"/>
  <c r="P109" i="3"/>
  <c r="P45" i="3"/>
  <c r="P124" i="3"/>
  <c r="P60" i="3"/>
  <c r="P131" i="3"/>
  <c r="P67" i="3"/>
  <c r="P146" i="3"/>
  <c r="P82" i="3"/>
  <c r="P119" i="3"/>
  <c r="P105" i="3"/>
  <c r="P41" i="3"/>
  <c r="P136" i="3"/>
  <c r="P72" i="3"/>
  <c r="P110" i="3"/>
  <c r="P68" i="3"/>
  <c r="P26" i="3"/>
  <c r="P143" i="3"/>
  <c r="P94" i="3"/>
  <c r="P30" i="3"/>
  <c r="P101" i="3"/>
  <c r="P37" i="3"/>
  <c r="P116" i="3"/>
  <c r="P52" i="3"/>
  <c r="P123" i="3"/>
  <c r="P59" i="3"/>
  <c r="P138" i="3"/>
  <c r="P74" i="3"/>
  <c r="P87" i="3"/>
  <c r="P97" i="3"/>
  <c r="P33" i="3"/>
  <c r="P128" i="3"/>
  <c r="P64" i="3"/>
  <c r="P139" i="3"/>
  <c r="P80" i="3"/>
  <c r="P31" i="3"/>
  <c r="P86" i="3"/>
  <c r="P103" i="3"/>
  <c r="P93" i="3"/>
  <c r="P29" i="3"/>
  <c r="P108" i="3"/>
  <c r="P44" i="3"/>
  <c r="P115" i="3"/>
  <c r="P51" i="3"/>
  <c r="P130" i="3"/>
  <c r="P66" i="3"/>
  <c r="P71" i="3"/>
  <c r="P89" i="3"/>
  <c r="P25" i="3"/>
  <c r="P120" i="3"/>
  <c r="P56" i="3"/>
  <c r="P117" i="3"/>
  <c r="P113" i="3"/>
  <c r="P142" i="3"/>
  <c r="P78" i="3"/>
  <c r="P39" i="3"/>
  <c r="P85" i="3"/>
  <c r="P111" i="3"/>
  <c r="P100" i="3"/>
  <c r="P36" i="3"/>
  <c r="P107" i="3"/>
  <c r="P122" i="3"/>
  <c r="P58" i="3"/>
  <c r="P145" i="3"/>
  <c r="P81" i="3"/>
  <c r="P112" i="3"/>
  <c r="P48" i="3"/>
  <c r="P46" i="3"/>
  <c r="P49" i="3"/>
  <c r="P134" i="3"/>
  <c r="P70" i="3"/>
  <c r="P141" i="3"/>
  <c r="P77" i="3"/>
  <c r="P47" i="3"/>
  <c r="P92" i="3"/>
  <c r="P28" i="3"/>
  <c r="P99" i="3"/>
  <c r="P35" i="3"/>
  <c r="P114" i="3"/>
  <c r="P50" i="3"/>
  <c r="P137" i="3"/>
  <c r="P73" i="3"/>
  <c r="P127" i="3"/>
  <c r="P104" i="3"/>
  <c r="P40" i="3"/>
  <c r="P132" i="3"/>
  <c r="P75" i="3"/>
  <c r="P90" i="3"/>
  <c r="P126" i="3"/>
  <c r="P62" i="3"/>
  <c r="P133" i="3"/>
  <c r="P69" i="3"/>
  <c r="P84" i="3"/>
  <c r="P63" i="3"/>
  <c r="P91" i="3"/>
  <c r="P27" i="3"/>
  <c r="P106" i="3"/>
  <c r="P42" i="3"/>
  <c r="P129" i="3"/>
  <c r="P65" i="3"/>
  <c r="P95" i="3"/>
  <c r="P96" i="3"/>
  <c r="P32" i="3"/>
  <c r="P55" i="3"/>
  <c r="P118" i="3"/>
  <c r="P54" i="3"/>
  <c r="P125" i="3"/>
  <c r="P61" i="3"/>
  <c r="P140" i="3"/>
  <c r="P76" i="3"/>
  <c r="P147" i="3"/>
  <c r="P83" i="3"/>
  <c r="P135" i="3"/>
  <c r="P98" i="3"/>
  <c r="P34" i="3"/>
  <c r="P121" i="3"/>
  <c r="P57" i="3"/>
  <c r="P79" i="3"/>
  <c r="P88" i="3"/>
  <c r="P24" i="3"/>
  <c r="S22" i="5" l="1"/>
  <c r="U24" i="5"/>
  <c r="U28" i="5" s="1"/>
  <c r="T22" i="5"/>
  <c r="V24" i="5" s="1"/>
  <c r="L180" i="5"/>
  <c r="W180" i="5"/>
  <c r="L204" i="5"/>
  <c r="W204" i="5"/>
  <c r="L164" i="5"/>
  <c r="W164" i="5"/>
  <c r="L188" i="5"/>
  <c r="W188" i="5"/>
  <c r="U29" i="5"/>
  <c r="U30" i="5"/>
  <c r="U25" i="5"/>
  <c r="U26" i="5"/>
  <c r="U27" i="5"/>
  <c r="Q22" i="5"/>
  <c r="R22" i="5" s="1"/>
  <c r="L125" i="5"/>
  <c r="L109" i="5"/>
  <c r="L58" i="5"/>
  <c r="L29" i="5"/>
  <c r="L165" i="5"/>
  <c r="L91" i="5"/>
  <c r="L157" i="5"/>
  <c r="L69" i="5"/>
  <c r="L106" i="5"/>
  <c r="L67" i="5"/>
  <c r="L149" i="5"/>
  <c r="L81" i="5"/>
  <c r="L197" i="5"/>
  <c r="L202" i="5"/>
  <c r="L61" i="5"/>
  <c r="L27" i="5"/>
  <c r="L154" i="5"/>
  <c r="L23" i="3"/>
  <c r="L78" i="5"/>
  <c r="Q78" i="5" s="1"/>
  <c r="R78" i="5" s="1"/>
  <c r="N204" i="5"/>
  <c r="L85" i="5"/>
  <c r="L68" i="5"/>
  <c r="Q68" i="5" s="1"/>
  <c r="R68" i="5" s="1"/>
  <c r="L33" i="5"/>
  <c r="Q33" i="5" s="1"/>
  <c r="R33" i="5" s="1"/>
  <c r="L173" i="5"/>
  <c r="L172" i="5"/>
  <c r="Q172" i="5" s="1"/>
  <c r="R172" i="5" s="1"/>
  <c r="L118" i="5"/>
  <c r="Q118" i="5" s="1"/>
  <c r="R118" i="5" s="1"/>
  <c r="L113" i="5"/>
  <c r="L82" i="5"/>
  <c r="L116" i="5"/>
  <c r="N61" i="5"/>
  <c r="L95" i="5"/>
  <c r="Q95" i="5" s="1"/>
  <c r="R95" i="5" s="1"/>
  <c r="L122" i="5"/>
  <c r="Q122" i="5" s="1"/>
  <c r="R122" i="5" s="1"/>
  <c r="L44" i="5"/>
  <c r="L115" i="5"/>
  <c r="Q115" i="5" s="1"/>
  <c r="R115" i="5" s="1"/>
  <c r="N69" i="5"/>
  <c r="L86" i="5"/>
  <c r="Q86" i="5" s="1"/>
  <c r="R86" i="5" s="1"/>
  <c r="L144" i="5"/>
  <c r="L137" i="5"/>
  <c r="Q137" i="5" s="1"/>
  <c r="R137" i="5" s="1"/>
  <c r="L114" i="5"/>
  <c r="Q114" i="5" s="1"/>
  <c r="R114" i="5" s="1"/>
  <c r="L77" i="5"/>
  <c r="L160" i="5"/>
  <c r="L166" i="5"/>
  <c r="L139" i="5"/>
  <c r="L110" i="5"/>
  <c r="L146" i="5"/>
  <c r="L32" i="5"/>
  <c r="Q32" i="5" s="1"/>
  <c r="R32" i="5" s="1"/>
  <c r="L177" i="5"/>
  <c r="Q177" i="5" s="1"/>
  <c r="R177" i="5" s="1"/>
  <c r="L156" i="5"/>
  <c r="L135" i="5"/>
  <c r="L112" i="5"/>
  <c r="Q112" i="5" s="1"/>
  <c r="R112" i="5" s="1"/>
  <c r="L192" i="5"/>
  <c r="Q192" i="5" s="1"/>
  <c r="R192" i="5" s="1"/>
  <c r="L128" i="5"/>
  <c r="L87" i="5"/>
  <c r="L47" i="5"/>
  <c r="Q47" i="5" s="1"/>
  <c r="R47" i="5" s="1"/>
  <c r="L131" i="5"/>
  <c r="L130" i="5"/>
  <c r="L93" i="5"/>
  <c r="Q93" i="5" s="1"/>
  <c r="R93" i="5" s="1"/>
  <c r="L147" i="5"/>
  <c r="Q147" i="5" s="1"/>
  <c r="R147" i="5" s="1"/>
  <c r="L97" i="5"/>
  <c r="L162" i="5"/>
  <c r="Q162" i="5" s="1"/>
  <c r="R162" i="5" s="1"/>
  <c r="L161" i="5"/>
  <c r="Q161" i="5" s="1"/>
  <c r="R161" i="5" s="1"/>
  <c r="L38" i="5"/>
  <c r="Q38" i="5" s="1"/>
  <c r="R38" i="5" s="1"/>
  <c r="L184" i="5"/>
  <c r="Q184" i="5" s="1"/>
  <c r="R184" i="5" s="1"/>
  <c r="N106" i="5"/>
  <c r="L124" i="5"/>
  <c r="L103" i="5"/>
  <c r="Q103" i="5" s="1"/>
  <c r="R103" i="5" s="1"/>
  <c r="L108" i="5"/>
  <c r="Q108" i="5" s="1"/>
  <c r="R108" i="5" s="1"/>
  <c r="L123" i="5"/>
  <c r="Q123" i="5" s="1"/>
  <c r="R123" i="5" s="1"/>
  <c r="L94" i="5"/>
  <c r="L176" i="5"/>
  <c r="Q176" i="5" s="1"/>
  <c r="R176" i="5" s="1"/>
  <c r="L186" i="5"/>
  <c r="Q186" i="5" s="1"/>
  <c r="R186" i="5" s="1"/>
  <c r="L148" i="5"/>
  <c r="Q148" i="5" s="1"/>
  <c r="R148" i="5" s="1"/>
  <c r="L127" i="5"/>
  <c r="Q127" i="5" s="1"/>
  <c r="R127" i="5" s="1"/>
  <c r="L100" i="5"/>
  <c r="Q100" i="5" s="1"/>
  <c r="R100" i="5" s="1"/>
  <c r="L35" i="5"/>
  <c r="L136" i="5"/>
  <c r="N164" i="5"/>
  <c r="Q164" i="5" s="1"/>
  <c r="R164" i="5" s="1"/>
  <c r="L190" i="5"/>
  <c r="Q190" i="5" s="1"/>
  <c r="R190" i="5" s="1"/>
  <c r="L198" i="5"/>
  <c r="Q198" i="5" s="1"/>
  <c r="R198" i="5" s="1"/>
  <c r="L39" i="5"/>
  <c r="L26" i="5"/>
  <c r="Q26" i="5" s="1"/>
  <c r="R26" i="5" s="1"/>
  <c r="L171" i="5"/>
  <c r="L120" i="5"/>
  <c r="L96" i="5"/>
  <c r="Q96" i="5" s="1"/>
  <c r="R96" i="5" s="1"/>
  <c r="N197" i="5"/>
  <c r="L142" i="5"/>
  <c r="Q142" i="5" s="1"/>
  <c r="R142" i="5" s="1"/>
  <c r="L80" i="5"/>
  <c r="Q80" i="5" s="1"/>
  <c r="R80" i="5" s="1"/>
  <c r="L132" i="5"/>
  <c r="L111" i="5"/>
  <c r="Q111" i="5" s="1"/>
  <c r="R111" i="5" s="1"/>
  <c r="L194" i="5"/>
  <c r="L34" i="5"/>
  <c r="Q34" i="5" s="1"/>
  <c r="R34" i="5" s="1"/>
  <c r="N125" i="5"/>
  <c r="L159" i="5"/>
  <c r="Q159" i="5" s="1"/>
  <c r="R159" i="5" s="1"/>
  <c r="L195" i="5"/>
  <c r="Q195" i="5" s="1"/>
  <c r="R195" i="5" s="1"/>
  <c r="L134" i="5"/>
  <c r="Q134" i="5" s="1"/>
  <c r="R134" i="5" s="1"/>
  <c r="L179" i="5"/>
  <c r="Q179" i="5" s="1"/>
  <c r="R179" i="5" s="1"/>
  <c r="L150" i="5"/>
  <c r="Q150" i="5" s="1"/>
  <c r="R150" i="5" s="1"/>
  <c r="L121" i="5"/>
  <c r="N58" i="5"/>
  <c r="L56" i="5"/>
  <c r="L178" i="5"/>
  <c r="L141" i="5"/>
  <c r="L40" i="5"/>
  <c r="Q40" i="5" s="1"/>
  <c r="R40" i="5" s="1"/>
  <c r="L119" i="5"/>
  <c r="Q119" i="5" s="1"/>
  <c r="R119" i="5" s="1"/>
  <c r="L90" i="5"/>
  <c r="Q90" i="5" s="1"/>
  <c r="R90" i="5" s="1"/>
  <c r="L203" i="5"/>
  <c r="Q203" i="5" s="1"/>
  <c r="R203" i="5" s="1"/>
  <c r="L174" i="5"/>
  <c r="L88" i="5"/>
  <c r="L168" i="5"/>
  <c r="L74" i="5"/>
  <c r="Q74" i="5" s="1"/>
  <c r="R74" i="5" s="1"/>
  <c r="N202" i="5"/>
  <c r="L37" i="5"/>
  <c r="Q37" i="5" s="1"/>
  <c r="R37" i="5" s="1"/>
  <c r="L199" i="5"/>
  <c r="Q199" i="5" s="1"/>
  <c r="R199" i="5" s="1"/>
  <c r="L64" i="5"/>
  <c r="Q64" i="5" s="1"/>
  <c r="R64" i="5" s="1"/>
  <c r="L107" i="5"/>
  <c r="Q107" i="5" s="1"/>
  <c r="R107" i="5" s="1"/>
  <c r="L89" i="5"/>
  <c r="L49" i="5"/>
  <c r="Q49" i="5" s="1"/>
  <c r="R49" i="5" s="1"/>
  <c r="L133" i="5"/>
  <c r="Q133" i="5" s="1"/>
  <c r="R133" i="5" s="1"/>
  <c r="L193" i="5"/>
  <c r="Q193" i="5" s="1"/>
  <c r="R193" i="5" s="1"/>
  <c r="L102" i="5"/>
  <c r="Q102" i="5" s="1"/>
  <c r="R102" i="5" s="1"/>
  <c r="N81" i="5"/>
  <c r="L28" i="5"/>
  <c r="Q28" i="5" s="1"/>
  <c r="R28" i="5" s="1"/>
  <c r="L48" i="5"/>
  <c r="L43" i="5"/>
  <c r="N180" i="5"/>
  <c r="Q180" i="5" s="1"/>
  <c r="R180" i="5" s="1"/>
  <c r="L189" i="5"/>
  <c r="Q189" i="5" s="1"/>
  <c r="R189" i="5" s="1"/>
  <c r="L41" i="5"/>
  <c r="Q41" i="5" s="1"/>
  <c r="R41" i="5" s="1"/>
  <c r="L55" i="5"/>
  <c r="Q55" i="5" s="1"/>
  <c r="R55" i="5" s="1"/>
  <c r="L42" i="5"/>
  <c r="Q42" i="5" s="1"/>
  <c r="R42" i="5" s="1"/>
  <c r="L167" i="5"/>
  <c r="Q167" i="5" s="1"/>
  <c r="R167" i="5" s="1"/>
  <c r="L76" i="5"/>
  <c r="L181" i="5"/>
  <c r="L187" i="5"/>
  <c r="Q187" i="5" s="1"/>
  <c r="R187" i="5" s="1"/>
  <c r="L158" i="5"/>
  <c r="Q158" i="5" s="1"/>
  <c r="R158" i="5" s="1"/>
  <c r="L185" i="5"/>
  <c r="Q185" i="5" s="1"/>
  <c r="R185" i="5" s="1"/>
  <c r="L66" i="5"/>
  <c r="N157" i="5"/>
  <c r="L191" i="5"/>
  <c r="N27" i="5"/>
  <c r="L45" i="5"/>
  <c r="L163" i="5"/>
  <c r="Q163" i="5" s="1"/>
  <c r="R163" i="5" s="1"/>
  <c r="L83" i="5"/>
  <c r="Q83" i="5" s="1"/>
  <c r="R83" i="5" s="1"/>
  <c r="L54" i="5"/>
  <c r="Q54" i="5" s="1"/>
  <c r="R54" i="5" s="1"/>
  <c r="L201" i="5"/>
  <c r="Q201" i="5" s="1"/>
  <c r="R201" i="5" s="1"/>
  <c r="N91" i="5"/>
  <c r="N109" i="5"/>
  <c r="L143" i="5"/>
  <c r="Q143" i="5" s="1"/>
  <c r="R143" i="5" s="1"/>
  <c r="L200" i="5"/>
  <c r="L153" i="5"/>
  <c r="L23" i="5"/>
  <c r="L170" i="5"/>
  <c r="Q170" i="5" s="1"/>
  <c r="R170" i="5" s="1"/>
  <c r="L140" i="5"/>
  <c r="Q140" i="5" s="1"/>
  <c r="R140" i="5" s="1"/>
  <c r="L129" i="5"/>
  <c r="L104" i="5"/>
  <c r="L126" i="5"/>
  <c r="L70" i="5"/>
  <c r="N165" i="5"/>
  <c r="L182" i="5"/>
  <c r="L52" i="5"/>
  <c r="Q52" i="5" s="1"/>
  <c r="R52" i="5" s="1"/>
  <c r="L31" i="5"/>
  <c r="L57" i="5"/>
  <c r="L51" i="5"/>
  <c r="Q51" i="5" s="1"/>
  <c r="R51" i="5" s="1"/>
  <c r="N188" i="5"/>
  <c r="Q188" i="5" s="1"/>
  <c r="R188" i="5" s="1"/>
  <c r="L73" i="5"/>
  <c r="L183" i="5"/>
  <c r="Q183" i="5" s="1"/>
  <c r="R183" i="5" s="1"/>
  <c r="L50" i="5"/>
  <c r="L196" i="5"/>
  <c r="L175" i="5"/>
  <c r="L75" i="5"/>
  <c r="N29" i="5"/>
  <c r="L46" i="5"/>
  <c r="Q46" i="5" s="1"/>
  <c r="R46" i="5" s="1"/>
  <c r="L169" i="5"/>
  <c r="Q169" i="5" s="1"/>
  <c r="R169" i="5" s="1"/>
  <c r="L79" i="5"/>
  <c r="Q79" i="5" s="1"/>
  <c r="R79" i="5" s="1"/>
  <c r="L151" i="5"/>
  <c r="Q151" i="5" s="1"/>
  <c r="R151" i="5" s="1"/>
  <c r="L92" i="5"/>
  <c r="L71" i="5"/>
  <c r="Q71" i="5" s="1"/>
  <c r="R71" i="5" s="1"/>
  <c r="L36" i="5"/>
  <c r="Q36" i="5" s="1"/>
  <c r="R36" i="5" s="1"/>
  <c r="L145" i="5"/>
  <c r="N154" i="5"/>
  <c r="L98" i="5"/>
  <c r="Q98" i="5" s="1"/>
  <c r="R98" i="5" s="1"/>
  <c r="L60" i="5"/>
  <c r="L99" i="5"/>
  <c r="Q99" i="5" s="1"/>
  <c r="R99" i="5" s="1"/>
  <c r="L59" i="5"/>
  <c r="Q59" i="5" s="1"/>
  <c r="R59" i="5" s="1"/>
  <c r="L30" i="5"/>
  <c r="L105" i="5"/>
  <c r="Q105" i="5" s="1"/>
  <c r="R105" i="5" s="1"/>
  <c r="N67" i="5"/>
  <c r="N149" i="5"/>
  <c r="L72" i="5"/>
  <c r="L117" i="5"/>
  <c r="Q117" i="5" s="1"/>
  <c r="R117" i="5" s="1"/>
  <c r="L84" i="5"/>
  <c r="Q84" i="5" s="1"/>
  <c r="R84" i="5" s="1"/>
  <c r="L63" i="5"/>
  <c r="Q63" i="5" s="1"/>
  <c r="R63" i="5" s="1"/>
  <c r="L155" i="5"/>
  <c r="L152" i="5"/>
  <c r="L138" i="5"/>
  <c r="L101" i="5"/>
  <c r="L65" i="5"/>
  <c r="L62" i="5"/>
  <c r="L53" i="5"/>
  <c r="Q53" i="5" s="1"/>
  <c r="R53" i="5" s="1"/>
  <c r="K24" i="5"/>
  <c r="W24" i="5" s="1"/>
  <c r="P43" i="3"/>
  <c r="D12" i="3"/>
  <c r="E25" i="3"/>
  <c r="K25" i="3" s="1"/>
  <c r="L25" i="3" s="1"/>
  <c r="V25" i="3" s="1"/>
  <c r="K24" i="3"/>
  <c r="Q204" i="5" l="1"/>
  <c r="R204" i="5" s="1"/>
  <c r="V26" i="5"/>
  <c r="V27" i="5"/>
  <c r="V25" i="5"/>
  <c r="E6" i="8" s="1"/>
  <c r="V28" i="5"/>
  <c r="E9" i="8" s="1"/>
  <c r="V30" i="5"/>
  <c r="E8" i="8"/>
  <c r="V29" i="5"/>
  <c r="E10" i="8" s="1"/>
  <c r="E7" i="8"/>
  <c r="V23" i="3"/>
  <c r="Q23" i="5"/>
  <c r="R23" i="5" s="1"/>
  <c r="S23" i="5"/>
  <c r="T23" i="5" s="1"/>
  <c r="Q91" i="5"/>
  <c r="R91" i="5" s="1"/>
  <c r="Q27" i="5"/>
  <c r="R27" i="5" s="1"/>
  <c r="Q202" i="5"/>
  <c r="R202" i="5" s="1"/>
  <c r="Q154" i="5"/>
  <c r="R154" i="5" s="1"/>
  <c r="Q69" i="5"/>
  <c r="R69" i="5" s="1"/>
  <c r="Q67" i="5"/>
  <c r="R67" i="5" s="1"/>
  <c r="Q29" i="5"/>
  <c r="R29" i="5" s="1"/>
  <c r="Q109" i="5"/>
  <c r="R109" i="5" s="1"/>
  <c r="Q25" i="3"/>
  <c r="R25" i="3" s="1"/>
  <c r="Q23" i="3"/>
  <c r="R23" i="3" s="1"/>
  <c r="Q149" i="5"/>
  <c r="R149" i="5" s="1"/>
  <c r="Q58" i="5"/>
  <c r="R58" i="5" s="1"/>
  <c r="Q81" i="5"/>
  <c r="R81" i="5" s="1"/>
  <c r="Q197" i="5"/>
  <c r="R197" i="5" s="1"/>
  <c r="Q165" i="5"/>
  <c r="R165" i="5" s="1"/>
  <c r="Q85" i="5"/>
  <c r="R85" i="5" s="1"/>
  <c r="Q62" i="5"/>
  <c r="R62" i="5" s="1"/>
  <c r="Q60" i="5"/>
  <c r="R60" i="5" s="1"/>
  <c r="Q125" i="5"/>
  <c r="R125" i="5" s="1"/>
  <c r="Q153" i="5"/>
  <c r="R153" i="5" s="1"/>
  <c r="Q88" i="5"/>
  <c r="R88" i="5" s="1"/>
  <c r="Q181" i="5"/>
  <c r="R181" i="5" s="1"/>
  <c r="Q82" i="5"/>
  <c r="R82" i="5" s="1"/>
  <c r="Q89" i="5"/>
  <c r="R89" i="5" s="1"/>
  <c r="Q45" i="5"/>
  <c r="R45" i="5" s="1"/>
  <c r="Q43" i="5"/>
  <c r="R43" i="5" s="1"/>
  <c r="Q110" i="5"/>
  <c r="R110" i="5" s="1"/>
  <c r="Q171" i="5"/>
  <c r="R171" i="5" s="1"/>
  <c r="Q168" i="5"/>
  <c r="R168" i="5" s="1"/>
  <c r="Q157" i="5"/>
  <c r="R157" i="5" s="1"/>
  <c r="Q113" i="5"/>
  <c r="R113" i="5" s="1"/>
  <c r="Q129" i="5"/>
  <c r="R129" i="5" s="1"/>
  <c r="Q104" i="5"/>
  <c r="R104" i="5" s="1"/>
  <c r="Q139" i="5"/>
  <c r="R139" i="5" s="1"/>
  <c r="Q178" i="5"/>
  <c r="R178" i="5" s="1"/>
  <c r="Q75" i="5"/>
  <c r="R75" i="5" s="1"/>
  <c r="Q57" i="5"/>
  <c r="R57" i="5" s="1"/>
  <c r="Q136" i="5"/>
  <c r="R136" i="5" s="1"/>
  <c r="Q48" i="5"/>
  <c r="R48" i="5" s="1"/>
  <c r="Q174" i="5"/>
  <c r="R174" i="5" s="1"/>
  <c r="Q126" i="5"/>
  <c r="R126" i="5" s="1"/>
  <c r="Q106" i="5"/>
  <c r="R106" i="5" s="1"/>
  <c r="Q135" i="5"/>
  <c r="R135" i="5" s="1"/>
  <c r="Q160" i="5"/>
  <c r="R160" i="5" s="1"/>
  <c r="Q166" i="5"/>
  <c r="R166" i="5" s="1"/>
  <c r="Q65" i="5"/>
  <c r="R65" i="5" s="1"/>
  <c r="Q130" i="5"/>
  <c r="R130" i="5" s="1"/>
  <c r="Q72" i="5"/>
  <c r="R72" i="5" s="1"/>
  <c r="Q124" i="5"/>
  <c r="R124" i="5" s="1"/>
  <c r="Q70" i="5"/>
  <c r="R70" i="5" s="1"/>
  <c r="Q56" i="5"/>
  <c r="R56" i="5" s="1"/>
  <c r="Q156" i="5"/>
  <c r="R156" i="5" s="1"/>
  <c r="Q145" i="5"/>
  <c r="R145" i="5" s="1"/>
  <c r="Q66" i="5"/>
  <c r="R66" i="5" s="1"/>
  <c r="Q128" i="5"/>
  <c r="R128" i="5" s="1"/>
  <c r="Q94" i="5"/>
  <c r="R94" i="5" s="1"/>
  <c r="Q138" i="5"/>
  <c r="R138" i="5" s="1"/>
  <c r="Q73" i="5"/>
  <c r="R73" i="5" s="1"/>
  <c r="Q87" i="5"/>
  <c r="R87" i="5" s="1"/>
  <c r="Q131" i="5"/>
  <c r="R131" i="5" s="1"/>
  <c r="Q35" i="5"/>
  <c r="R35" i="5" s="1"/>
  <c r="Q76" i="5"/>
  <c r="R76" i="5" s="1"/>
  <c r="Q152" i="5"/>
  <c r="R152" i="5" s="1"/>
  <c r="Q120" i="5"/>
  <c r="R120" i="5" s="1"/>
  <c r="Q31" i="5"/>
  <c r="R31" i="5" s="1"/>
  <c r="Q132" i="5"/>
  <c r="R132" i="5" s="1"/>
  <c r="Q155" i="5"/>
  <c r="R155" i="5" s="1"/>
  <c r="Q61" i="5"/>
  <c r="R61" i="5" s="1"/>
  <c r="Q101" i="5"/>
  <c r="R101" i="5" s="1"/>
  <c r="Q77" i="5"/>
  <c r="R77" i="5" s="1"/>
  <c r="Q200" i="5"/>
  <c r="R200" i="5" s="1"/>
  <c r="Q39" i="5"/>
  <c r="R39" i="5" s="1"/>
  <c r="Q30" i="5"/>
  <c r="R30" i="5" s="1"/>
  <c r="Q92" i="5"/>
  <c r="R92" i="5" s="1"/>
  <c r="Q175" i="5"/>
  <c r="R175" i="5" s="1"/>
  <c r="Q196" i="5"/>
  <c r="R196" i="5" s="1"/>
  <c r="Q44" i="5"/>
  <c r="R44" i="5" s="1"/>
  <c r="Q97" i="5"/>
  <c r="R97" i="5" s="1"/>
  <c r="Q146" i="5"/>
  <c r="R146" i="5" s="1"/>
  <c r="Q121" i="5"/>
  <c r="R121" i="5" s="1"/>
  <c r="Q194" i="5"/>
  <c r="R194" i="5" s="1"/>
  <c r="Q182" i="5"/>
  <c r="R182" i="5" s="1"/>
  <c r="Q141" i="5"/>
  <c r="R141" i="5" s="1"/>
  <c r="Q116" i="5"/>
  <c r="R116" i="5" s="1"/>
  <c r="Q173" i="5"/>
  <c r="R173" i="5" s="1"/>
  <c r="Q144" i="5"/>
  <c r="R144" i="5" s="1"/>
  <c r="Q191" i="5"/>
  <c r="R191" i="5" s="1"/>
  <c r="Q50" i="5"/>
  <c r="R50" i="5" s="1"/>
  <c r="S152" i="5"/>
  <c r="T152" i="5" s="1"/>
  <c r="S199" i="5"/>
  <c r="T199" i="5" s="1"/>
  <c r="S26" i="5"/>
  <c r="T26" i="5" s="1"/>
  <c r="S124" i="5"/>
  <c r="T124" i="5" s="1"/>
  <c r="S160" i="5"/>
  <c r="T160" i="5" s="1"/>
  <c r="S201" i="5"/>
  <c r="T201" i="5" s="1"/>
  <c r="S55" i="5"/>
  <c r="T55" i="5" s="1"/>
  <c r="S102" i="5"/>
  <c r="S119" i="5"/>
  <c r="T119" i="5" s="1"/>
  <c r="S148" i="5"/>
  <c r="T148" i="5" s="1"/>
  <c r="S156" i="5"/>
  <c r="T156" i="5" s="1"/>
  <c r="S122" i="5"/>
  <c r="T122" i="5" s="1"/>
  <c r="S173" i="5"/>
  <c r="S63" i="5"/>
  <c r="T63" i="5" s="1"/>
  <c r="S59" i="5"/>
  <c r="T59" i="5" s="1"/>
  <c r="S92" i="5"/>
  <c r="T92" i="5" s="1"/>
  <c r="S196" i="5"/>
  <c r="T196" i="5" s="1"/>
  <c r="S52" i="5"/>
  <c r="T52" i="5" s="1"/>
  <c r="S170" i="5"/>
  <c r="T170" i="5" s="1"/>
  <c r="S54" i="5"/>
  <c r="S185" i="5"/>
  <c r="T185" i="5" s="1"/>
  <c r="S41" i="5"/>
  <c r="T41" i="5" s="1"/>
  <c r="S193" i="5"/>
  <c r="S40" i="5"/>
  <c r="S134" i="5"/>
  <c r="T134" i="5" s="1"/>
  <c r="S80" i="5"/>
  <c r="T80" i="5" s="1"/>
  <c r="S198" i="5"/>
  <c r="T198" i="5" s="1"/>
  <c r="S186" i="5"/>
  <c r="S53" i="5"/>
  <c r="T53" i="5" s="1"/>
  <c r="S50" i="5"/>
  <c r="T50" i="5" s="1"/>
  <c r="S182" i="5"/>
  <c r="T182" i="5" s="1"/>
  <c r="S74" i="5"/>
  <c r="S142" i="5"/>
  <c r="T142" i="5" s="1"/>
  <c r="S190" i="5"/>
  <c r="T190" i="5" s="1"/>
  <c r="S176" i="5"/>
  <c r="T176" i="5" s="1"/>
  <c r="S38" i="5"/>
  <c r="T38" i="5" s="1"/>
  <c r="S47" i="5"/>
  <c r="T47" i="5" s="1"/>
  <c r="S32" i="5"/>
  <c r="S137" i="5"/>
  <c r="S68" i="5"/>
  <c r="T68" i="5" s="1"/>
  <c r="S75" i="5"/>
  <c r="T75" i="5" s="1"/>
  <c r="S90" i="5"/>
  <c r="T90" i="5" s="1"/>
  <c r="S127" i="5"/>
  <c r="T127" i="5" s="1"/>
  <c r="S155" i="5"/>
  <c r="T155" i="5" s="1"/>
  <c r="S30" i="5"/>
  <c r="T30" i="5" s="1"/>
  <c r="S175" i="5"/>
  <c r="T175" i="5" s="1"/>
  <c r="S140" i="5"/>
  <c r="T140" i="5" s="1"/>
  <c r="S179" i="5"/>
  <c r="S130" i="5"/>
  <c r="S77" i="5"/>
  <c r="T77" i="5" s="1"/>
  <c r="S62" i="5"/>
  <c r="T62" i="5" s="1"/>
  <c r="S117" i="5"/>
  <c r="T117" i="5" s="1"/>
  <c r="S60" i="5"/>
  <c r="S79" i="5"/>
  <c r="T79" i="5" s="1"/>
  <c r="S183" i="5"/>
  <c r="T183" i="5" s="1"/>
  <c r="S153" i="5"/>
  <c r="T153" i="5" s="1"/>
  <c r="S163" i="5"/>
  <c r="T163" i="5" s="1"/>
  <c r="S168" i="5"/>
  <c r="T168" i="5" s="1"/>
  <c r="S178" i="5"/>
  <c r="T178" i="5" s="1"/>
  <c r="S159" i="5"/>
  <c r="T159" i="5" s="1"/>
  <c r="S94" i="5"/>
  <c r="T94" i="5" s="1"/>
  <c r="S161" i="5"/>
  <c r="T161" i="5" s="1"/>
  <c r="S87" i="5"/>
  <c r="T87" i="5" s="1"/>
  <c r="S146" i="5"/>
  <c r="T146" i="5" s="1"/>
  <c r="S144" i="5"/>
  <c r="S116" i="5"/>
  <c r="S85" i="5"/>
  <c r="T85" i="5" s="1"/>
  <c r="S36" i="5"/>
  <c r="T36" i="5" s="1"/>
  <c r="S135" i="5"/>
  <c r="T135" i="5" s="1"/>
  <c r="S65" i="5"/>
  <c r="T65" i="5" s="1"/>
  <c r="S98" i="5"/>
  <c r="T98" i="5" s="1"/>
  <c r="S45" i="5"/>
  <c r="T45" i="5" s="1"/>
  <c r="S43" i="5"/>
  <c r="T43" i="5" s="1"/>
  <c r="S96" i="5"/>
  <c r="T96" i="5" s="1"/>
  <c r="S123" i="5"/>
  <c r="S128" i="5"/>
  <c r="T128" i="5" s="1"/>
  <c r="S86" i="5"/>
  <c r="T86" i="5" s="1"/>
  <c r="S101" i="5"/>
  <c r="T101" i="5" s="1"/>
  <c r="S46" i="5"/>
  <c r="S126" i="5"/>
  <c r="T126" i="5" s="1"/>
  <c r="S143" i="5"/>
  <c r="T143" i="5" s="1"/>
  <c r="S48" i="5"/>
  <c r="T48" i="5" s="1"/>
  <c r="S107" i="5"/>
  <c r="T107" i="5" s="1"/>
  <c r="S174" i="5"/>
  <c r="T174" i="5" s="1"/>
  <c r="S34" i="5"/>
  <c r="S120" i="5"/>
  <c r="T120" i="5" s="1"/>
  <c r="S108" i="5"/>
  <c r="T108" i="5" s="1"/>
  <c r="S192" i="5"/>
  <c r="T192" i="5" s="1"/>
  <c r="S105" i="5"/>
  <c r="T105" i="5" s="1"/>
  <c r="S111" i="5"/>
  <c r="T111" i="5" s="1"/>
  <c r="S93" i="5"/>
  <c r="T93" i="5" s="1"/>
  <c r="S172" i="5"/>
  <c r="T172" i="5" s="1"/>
  <c r="S72" i="5"/>
  <c r="T72" i="5" s="1"/>
  <c r="S169" i="5"/>
  <c r="T169" i="5" s="1"/>
  <c r="S73" i="5"/>
  <c r="T73" i="5" s="1"/>
  <c r="S200" i="5"/>
  <c r="T200" i="5" s="1"/>
  <c r="S89" i="5"/>
  <c r="T89" i="5" s="1"/>
  <c r="S56" i="5"/>
  <c r="T56" i="5" s="1"/>
  <c r="S136" i="5"/>
  <c r="T136" i="5" s="1"/>
  <c r="S162" i="5"/>
  <c r="T162" i="5" s="1"/>
  <c r="S110" i="5"/>
  <c r="T110" i="5" s="1"/>
  <c r="S82" i="5"/>
  <c r="T82" i="5" s="1"/>
  <c r="S76" i="5"/>
  <c r="T76" i="5" s="1"/>
  <c r="S145" i="5"/>
  <c r="T145" i="5" s="1"/>
  <c r="S51" i="5"/>
  <c r="T51" i="5" s="1"/>
  <c r="S104" i="5"/>
  <c r="T104" i="5" s="1"/>
  <c r="S191" i="5"/>
  <c r="T191" i="5" s="1"/>
  <c r="S28" i="5"/>
  <c r="T28" i="5" s="1"/>
  <c r="S171" i="5"/>
  <c r="T171" i="5" s="1"/>
  <c r="S100" i="5"/>
  <c r="T100" i="5" s="1"/>
  <c r="S147" i="5"/>
  <c r="T147" i="5" s="1"/>
  <c r="S112" i="5"/>
  <c r="T112" i="5" s="1"/>
  <c r="S166" i="5"/>
  <c r="T166" i="5" s="1"/>
  <c r="S115" i="5"/>
  <c r="T115" i="5" s="1"/>
  <c r="S118" i="5"/>
  <c r="T118" i="5" s="1"/>
  <c r="S188" i="5"/>
  <c r="T188" i="5" s="1"/>
  <c r="S58" i="5"/>
  <c r="T58" i="5" s="1"/>
  <c r="S67" i="5"/>
  <c r="S109" i="5"/>
  <c r="S27" i="5"/>
  <c r="T27" i="5" s="1"/>
  <c r="S91" i="5"/>
  <c r="T91" i="5" s="1"/>
  <c r="S154" i="5"/>
  <c r="T154" i="5" s="1"/>
  <c r="S106" i="5"/>
  <c r="T106" i="5" s="1"/>
  <c r="S202" i="5"/>
  <c r="T202" i="5" s="1"/>
  <c r="S165" i="5"/>
  <c r="S180" i="5"/>
  <c r="T180" i="5" s="1"/>
  <c r="S164" i="5"/>
  <c r="T164" i="5" s="1"/>
  <c r="S125" i="5"/>
  <c r="T125" i="5" s="1"/>
  <c r="S204" i="5"/>
  <c r="T204" i="5" s="1"/>
  <c r="S149" i="5"/>
  <c r="T149" i="5" s="1"/>
  <c r="S157" i="5"/>
  <c r="T157" i="5" s="1"/>
  <c r="S81" i="5"/>
  <c r="S69" i="5"/>
  <c r="T69" i="5" s="1"/>
  <c r="S61" i="5"/>
  <c r="T61" i="5" s="1"/>
  <c r="S197" i="5"/>
  <c r="T197" i="5" s="1"/>
  <c r="S29" i="5"/>
  <c r="T29" i="5" s="1"/>
  <c r="S151" i="5"/>
  <c r="S83" i="5"/>
  <c r="T83" i="5" s="1"/>
  <c r="S158" i="5"/>
  <c r="S203" i="5"/>
  <c r="T203" i="5" s="1"/>
  <c r="S121" i="5"/>
  <c r="T121" i="5" s="1"/>
  <c r="S195" i="5"/>
  <c r="T195" i="5" s="1"/>
  <c r="S103" i="5"/>
  <c r="T103" i="5" s="1"/>
  <c r="S57" i="5"/>
  <c r="T57" i="5" s="1"/>
  <c r="S129" i="5"/>
  <c r="T129" i="5" s="1"/>
  <c r="S42" i="5"/>
  <c r="T42" i="5" s="1"/>
  <c r="S44" i="5"/>
  <c r="T44" i="5" s="1"/>
  <c r="S187" i="5"/>
  <c r="T187" i="5" s="1"/>
  <c r="S49" i="5"/>
  <c r="T49" i="5" s="1"/>
  <c r="S150" i="5"/>
  <c r="T150" i="5" s="1"/>
  <c r="S70" i="5"/>
  <c r="T70" i="5" s="1"/>
  <c r="S66" i="5"/>
  <c r="T66" i="5" s="1"/>
  <c r="S181" i="5"/>
  <c r="T181" i="5" s="1"/>
  <c r="S37" i="5"/>
  <c r="T37" i="5" s="1"/>
  <c r="S132" i="5"/>
  <c r="T132" i="5" s="1"/>
  <c r="S71" i="5"/>
  <c r="T71" i="5" s="1"/>
  <c r="S88" i="5"/>
  <c r="S31" i="5"/>
  <c r="T31" i="5" s="1"/>
  <c r="S39" i="5"/>
  <c r="T39" i="5" s="1"/>
  <c r="S138" i="5"/>
  <c r="T138" i="5" s="1"/>
  <c r="S84" i="5"/>
  <c r="T84" i="5" s="1"/>
  <c r="S99" i="5"/>
  <c r="T99" i="5" s="1"/>
  <c r="S167" i="5"/>
  <c r="T167" i="5" s="1"/>
  <c r="S189" i="5"/>
  <c r="T189" i="5" s="1"/>
  <c r="S133" i="5"/>
  <c r="T133" i="5" s="1"/>
  <c r="S64" i="5"/>
  <c r="T64" i="5" s="1"/>
  <c r="S141" i="5"/>
  <c r="T141" i="5" s="1"/>
  <c r="S194" i="5"/>
  <c r="T194" i="5" s="1"/>
  <c r="S35" i="5"/>
  <c r="S184" i="5"/>
  <c r="T184" i="5" s="1"/>
  <c r="S97" i="5"/>
  <c r="T97" i="5" s="1"/>
  <c r="S131" i="5"/>
  <c r="T131" i="5" s="1"/>
  <c r="S177" i="5"/>
  <c r="T177" i="5" s="1"/>
  <c r="S139" i="5"/>
  <c r="T139" i="5" s="1"/>
  <c r="S114" i="5"/>
  <c r="T114" i="5" s="1"/>
  <c r="S95" i="5"/>
  <c r="S113" i="5"/>
  <c r="T113" i="5" s="1"/>
  <c r="S33" i="5"/>
  <c r="T33" i="5" s="1"/>
  <c r="S78" i="5"/>
  <c r="T78" i="5" s="1"/>
  <c r="L24" i="5"/>
  <c r="K25" i="5"/>
  <c r="W25" i="5" s="1"/>
  <c r="F6" i="8" s="1"/>
  <c r="L24" i="3"/>
  <c r="V24" i="3" s="1"/>
  <c r="E26" i="3"/>
  <c r="K26" i="3" s="1"/>
  <c r="L26" i="3" s="1"/>
  <c r="U94" i="5" l="1"/>
  <c r="U157" i="5"/>
  <c r="U160" i="5" s="1"/>
  <c r="U87" i="5"/>
  <c r="U88" i="5" s="1"/>
  <c r="U164" i="5"/>
  <c r="U167" i="5" s="1"/>
  <c r="U101" i="5"/>
  <c r="U102" i="5" s="1"/>
  <c r="U73" i="5"/>
  <c r="U38" i="5"/>
  <c r="U100" i="5"/>
  <c r="U97" i="5"/>
  <c r="U98" i="5"/>
  <c r="U99" i="5"/>
  <c r="U95" i="5"/>
  <c r="U96" i="5"/>
  <c r="U171" i="5"/>
  <c r="U66" i="5"/>
  <c r="U178" i="5"/>
  <c r="U192" i="5"/>
  <c r="U59" i="5"/>
  <c r="U129" i="5"/>
  <c r="U122" i="5"/>
  <c r="U163" i="5"/>
  <c r="U159" i="5"/>
  <c r="U150" i="5"/>
  <c r="U136" i="5"/>
  <c r="U185" i="5"/>
  <c r="U80" i="5"/>
  <c r="U45" i="5"/>
  <c r="U108" i="5"/>
  <c r="U115" i="5"/>
  <c r="U52" i="5"/>
  <c r="U143" i="5"/>
  <c r="U199" i="5"/>
  <c r="W24" i="3"/>
  <c r="D6" i="8" s="1"/>
  <c r="T151" i="5"/>
  <c r="V157" i="5" s="1"/>
  <c r="T144" i="5"/>
  <c r="V150" i="5" s="1"/>
  <c r="T130" i="5"/>
  <c r="V136" i="5" s="1"/>
  <c r="T179" i="5"/>
  <c r="V185" i="5" s="1"/>
  <c r="T74" i="5"/>
  <c r="V80" i="5" s="1"/>
  <c r="T109" i="5"/>
  <c r="V115" i="5" s="1"/>
  <c r="T46" i="5"/>
  <c r="V52" i="5" s="1"/>
  <c r="T137" i="5"/>
  <c r="V143" i="5" s="1"/>
  <c r="T40" i="5"/>
  <c r="V45" i="5" s="1"/>
  <c r="T102" i="5"/>
  <c r="V108" i="5" s="1"/>
  <c r="T67" i="5"/>
  <c r="V73" i="5" s="1"/>
  <c r="T32" i="5"/>
  <c r="T193" i="5"/>
  <c r="V199" i="5" s="1"/>
  <c r="T95" i="5"/>
  <c r="V101" i="5" s="1"/>
  <c r="T88" i="5"/>
  <c r="V94" i="5" s="1"/>
  <c r="T165" i="5"/>
  <c r="V171" i="5" s="1"/>
  <c r="T60" i="5"/>
  <c r="V66" i="5" s="1"/>
  <c r="T81" i="5"/>
  <c r="V87" i="5" s="1"/>
  <c r="T173" i="5"/>
  <c r="V178" i="5" s="1"/>
  <c r="T158" i="5"/>
  <c r="V164" i="5" s="1"/>
  <c r="T123" i="5"/>
  <c r="V129" i="5" s="1"/>
  <c r="T186" i="5"/>
  <c r="V192" i="5" s="1"/>
  <c r="T54" i="5"/>
  <c r="V59" i="5" s="1"/>
  <c r="T116" i="5"/>
  <c r="V122" i="5" s="1"/>
  <c r="T34" i="5"/>
  <c r="J46" i="34"/>
  <c r="J118" i="34"/>
  <c r="J37" i="34"/>
  <c r="J116" i="34"/>
  <c r="J128" i="34"/>
  <c r="J43" i="34"/>
  <c r="J127" i="34"/>
  <c r="J117" i="34"/>
  <c r="J100" i="34"/>
  <c r="J107" i="34"/>
  <c r="J97" i="34"/>
  <c r="J67" i="34"/>
  <c r="J95" i="34"/>
  <c r="J106" i="34"/>
  <c r="J98" i="34"/>
  <c r="J35" i="34"/>
  <c r="J78" i="34"/>
  <c r="J96" i="34"/>
  <c r="J60" i="34"/>
  <c r="J68" i="34"/>
  <c r="J71" i="34"/>
  <c r="J30" i="34"/>
  <c r="J75" i="34"/>
  <c r="J109" i="34"/>
  <c r="J115" i="34"/>
  <c r="J24" i="34"/>
  <c r="J72" i="34"/>
  <c r="J22" i="34"/>
  <c r="J77" i="34"/>
  <c r="J17" i="34"/>
  <c r="J45" i="34"/>
  <c r="J94" i="34"/>
  <c r="J58" i="34"/>
  <c r="J26" i="34"/>
  <c r="J63" i="34"/>
  <c r="J21" i="34"/>
  <c r="J52" i="34"/>
  <c r="J66" i="34"/>
  <c r="J104" i="34"/>
  <c r="J41" i="34"/>
  <c r="J48" i="34"/>
  <c r="J119" i="34"/>
  <c r="J7" i="34"/>
  <c r="J79" i="34"/>
  <c r="J13" i="34"/>
  <c r="J53" i="34"/>
  <c r="J112" i="34"/>
  <c r="J91" i="34"/>
  <c r="J129" i="34"/>
  <c r="J49" i="34"/>
  <c r="J102" i="34"/>
  <c r="J47" i="34"/>
  <c r="J59" i="34"/>
  <c r="J18" i="34"/>
  <c r="J86" i="34"/>
  <c r="J76" i="34"/>
  <c r="J39" i="34"/>
  <c r="J90" i="34"/>
  <c r="J103" i="34"/>
  <c r="J55" i="34"/>
  <c r="J51" i="34"/>
  <c r="J121" i="34"/>
  <c r="J82" i="34"/>
  <c r="J27" i="34"/>
  <c r="J73" i="34"/>
  <c r="J64" i="34"/>
  <c r="J87" i="34"/>
  <c r="J125" i="34"/>
  <c r="J74" i="34"/>
  <c r="J88" i="34"/>
  <c r="J93" i="34"/>
  <c r="J110" i="34"/>
  <c r="J34" i="34"/>
  <c r="J38" i="34"/>
  <c r="J80" i="34"/>
  <c r="J123" i="34"/>
  <c r="J69" i="34"/>
  <c r="J92" i="34"/>
  <c r="J62" i="34"/>
  <c r="J42" i="34"/>
  <c r="J12" i="34"/>
  <c r="J65" i="34"/>
  <c r="J85" i="34"/>
  <c r="J36" i="34"/>
  <c r="J57" i="34"/>
  <c r="J124" i="34"/>
  <c r="J61" i="34"/>
  <c r="J89" i="34"/>
  <c r="J40" i="34"/>
  <c r="J19" i="34"/>
  <c r="J54" i="34"/>
  <c r="J114" i="34"/>
  <c r="J84" i="34"/>
  <c r="J81" i="34"/>
  <c r="J15" i="34"/>
  <c r="J50" i="34"/>
  <c r="J56" i="34"/>
  <c r="J101" i="34"/>
  <c r="J83" i="34"/>
  <c r="J32" i="34"/>
  <c r="J122" i="34"/>
  <c r="J29" i="34"/>
  <c r="J111" i="34"/>
  <c r="J33" i="34"/>
  <c r="J44" i="34"/>
  <c r="J105" i="34"/>
  <c r="J70" i="34"/>
  <c r="J99" i="34"/>
  <c r="J108" i="34"/>
  <c r="J11" i="34"/>
  <c r="J113" i="34"/>
  <c r="J120" i="34"/>
  <c r="J25" i="34"/>
  <c r="J28" i="34"/>
  <c r="J20" i="34"/>
  <c r="J23" i="34"/>
  <c r="J16" i="34"/>
  <c r="J31" i="34"/>
  <c r="J126" i="34"/>
  <c r="T35" i="5"/>
  <c r="Q26" i="3"/>
  <c r="R26" i="3" s="1"/>
  <c r="Q24" i="3"/>
  <c r="R24" i="3" s="1"/>
  <c r="Q24" i="5"/>
  <c r="R24" i="5" s="1"/>
  <c r="S24" i="5"/>
  <c r="T24" i="5" s="1"/>
  <c r="L25" i="5"/>
  <c r="E27" i="3"/>
  <c r="K27" i="3" s="1"/>
  <c r="L27" i="3" s="1"/>
  <c r="U165" i="5" l="1"/>
  <c r="U170" i="5"/>
  <c r="U162" i="5"/>
  <c r="U161" i="5"/>
  <c r="U158" i="5"/>
  <c r="U93" i="5"/>
  <c r="V38" i="5"/>
  <c r="U92" i="5"/>
  <c r="U106" i="5"/>
  <c r="U103" i="5"/>
  <c r="U91" i="5"/>
  <c r="U107" i="5"/>
  <c r="U90" i="5"/>
  <c r="U169" i="5"/>
  <c r="U89" i="5"/>
  <c r="U105" i="5"/>
  <c r="U166" i="5"/>
  <c r="U104" i="5"/>
  <c r="U168" i="5"/>
  <c r="V165" i="5"/>
  <c r="E101" i="8" s="1"/>
  <c r="V169" i="5"/>
  <c r="E105" i="8" s="1"/>
  <c r="V168" i="5"/>
  <c r="E104" i="8" s="1"/>
  <c r="V167" i="5"/>
  <c r="E103" i="8" s="1"/>
  <c r="V166" i="5"/>
  <c r="E102" i="8" s="1"/>
  <c r="V170" i="5"/>
  <c r="V188" i="5"/>
  <c r="E117" i="8" s="1"/>
  <c r="V191" i="5"/>
  <c r="V190" i="5"/>
  <c r="E119" i="8" s="1"/>
  <c r="V186" i="5"/>
  <c r="E115" i="8" s="1"/>
  <c r="V189" i="5"/>
  <c r="E118" i="8" s="1"/>
  <c r="V187" i="5"/>
  <c r="E116" i="8" s="1"/>
  <c r="U58" i="5"/>
  <c r="U54" i="5"/>
  <c r="U53" i="5"/>
  <c r="U55" i="5"/>
  <c r="U56" i="5"/>
  <c r="U57" i="5"/>
  <c r="V180" i="5"/>
  <c r="E111" i="8" s="1"/>
  <c r="V182" i="5"/>
  <c r="E113" i="8" s="1"/>
  <c r="V183" i="5"/>
  <c r="E114" i="8" s="1"/>
  <c r="V181" i="5"/>
  <c r="E112" i="8" s="1"/>
  <c r="V184" i="5"/>
  <c r="V179" i="5"/>
  <c r="E110" i="8" s="1"/>
  <c r="V76" i="5"/>
  <c r="E40" i="8" s="1"/>
  <c r="V79" i="5"/>
  <c r="V78" i="5"/>
  <c r="E42" i="8" s="1"/>
  <c r="V74" i="5"/>
  <c r="E38" i="8" s="1"/>
  <c r="V75" i="5"/>
  <c r="E39" i="8" s="1"/>
  <c r="V77" i="5"/>
  <c r="E41" i="8" s="1"/>
  <c r="V140" i="5"/>
  <c r="E84" i="8" s="1"/>
  <c r="V142" i="5"/>
  <c r="V138" i="5"/>
  <c r="E82" i="8" s="1"/>
  <c r="V137" i="5"/>
  <c r="E81" i="8" s="1"/>
  <c r="V139" i="5"/>
  <c r="E83" i="8" s="1"/>
  <c r="V141" i="5"/>
  <c r="E85" i="8" s="1"/>
  <c r="U121" i="5"/>
  <c r="U117" i="5"/>
  <c r="U116" i="5"/>
  <c r="U118" i="5"/>
  <c r="U119" i="5"/>
  <c r="U120" i="5"/>
  <c r="V92" i="5"/>
  <c r="E50" i="8" s="1"/>
  <c r="V93" i="5"/>
  <c r="V90" i="5"/>
  <c r="E48" i="8" s="1"/>
  <c r="V88" i="5"/>
  <c r="E46" i="8" s="1"/>
  <c r="V89" i="5"/>
  <c r="E47" i="8" s="1"/>
  <c r="V91" i="5"/>
  <c r="E49" i="8" s="1"/>
  <c r="V113" i="5"/>
  <c r="E65" i="8" s="1"/>
  <c r="V114" i="5"/>
  <c r="V111" i="5"/>
  <c r="E63" i="8" s="1"/>
  <c r="V110" i="5"/>
  <c r="E62" i="8" s="1"/>
  <c r="V112" i="5"/>
  <c r="E64" i="8" s="1"/>
  <c r="V109" i="5"/>
  <c r="E61" i="8" s="1"/>
  <c r="V156" i="5"/>
  <c r="V152" i="5"/>
  <c r="E92" i="8" s="1"/>
  <c r="V153" i="5"/>
  <c r="E93" i="8" s="1"/>
  <c r="V155" i="5"/>
  <c r="E95" i="8" s="1"/>
  <c r="V151" i="5"/>
  <c r="E91" i="8" s="1"/>
  <c r="V154" i="5"/>
  <c r="E94" i="8" s="1"/>
  <c r="U114" i="5"/>
  <c r="U112" i="5"/>
  <c r="U113" i="5"/>
  <c r="U109" i="5"/>
  <c r="U110" i="5"/>
  <c r="U111" i="5"/>
  <c r="V68" i="5"/>
  <c r="E34" i="8" s="1"/>
  <c r="V71" i="5"/>
  <c r="E37" i="8" s="1"/>
  <c r="V70" i="5"/>
  <c r="E36" i="8" s="1"/>
  <c r="V67" i="5"/>
  <c r="E33" i="8" s="1"/>
  <c r="V72" i="5"/>
  <c r="V69" i="5"/>
  <c r="E35" i="8" s="1"/>
  <c r="V51" i="5"/>
  <c r="V47" i="5"/>
  <c r="E20" i="8" s="1"/>
  <c r="V46" i="5"/>
  <c r="E19" i="8" s="1"/>
  <c r="V48" i="5"/>
  <c r="E21" i="8" s="1"/>
  <c r="V49" i="5"/>
  <c r="E22" i="8" s="1"/>
  <c r="V50" i="5"/>
  <c r="E23" i="8" s="1"/>
  <c r="V160" i="5"/>
  <c r="E98" i="8" s="1"/>
  <c r="V159" i="5"/>
  <c r="E97" i="8" s="1"/>
  <c r="V158" i="5"/>
  <c r="E96" i="8" s="1"/>
  <c r="V163" i="5"/>
  <c r="V162" i="5"/>
  <c r="E100" i="8" s="1"/>
  <c r="V161" i="5"/>
  <c r="E99" i="8" s="1"/>
  <c r="U47" i="5"/>
  <c r="U48" i="5"/>
  <c r="U51" i="5"/>
  <c r="U49" i="5"/>
  <c r="U50" i="5"/>
  <c r="U46" i="5"/>
  <c r="V124" i="5"/>
  <c r="E72" i="8" s="1"/>
  <c r="V127" i="5"/>
  <c r="E75" i="8" s="1"/>
  <c r="V126" i="5"/>
  <c r="E74" i="8" s="1"/>
  <c r="V123" i="5"/>
  <c r="E71" i="8" s="1"/>
  <c r="V128" i="5"/>
  <c r="V125" i="5"/>
  <c r="E73" i="8" s="1"/>
  <c r="V172" i="5"/>
  <c r="V177" i="5"/>
  <c r="V176" i="5"/>
  <c r="E109" i="8" s="1"/>
  <c r="V175" i="5"/>
  <c r="E108" i="8" s="1"/>
  <c r="V174" i="5"/>
  <c r="E107" i="8" s="1"/>
  <c r="V173" i="5"/>
  <c r="E106" i="8" s="1"/>
  <c r="V148" i="5"/>
  <c r="E90" i="8" s="1"/>
  <c r="V144" i="5"/>
  <c r="E86" i="8" s="1"/>
  <c r="V145" i="5"/>
  <c r="E87" i="8" s="1"/>
  <c r="V147" i="5"/>
  <c r="E89" i="8" s="1"/>
  <c r="V146" i="5"/>
  <c r="E88" i="8" s="1"/>
  <c r="V149" i="5"/>
  <c r="U86" i="5"/>
  <c r="U82" i="5"/>
  <c r="U81" i="5"/>
  <c r="U83" i="5"/>
  <c r="U84" i="5"/>
  <c r="U85" i="5"/>
  <c r="U142" i="5"/>
  <c r="U137" i="5"/>
  <c r="U138" i="5"/>
  <c r="U139" i="5"/>
  <c r="U140" i="5"/>
  <c r="U141" i="5"/>
  <c r="U128" i="5"/>
  <c r="U127" i="5"/>
  <c r="U123" i="5"/>
  <c r="U124" i="5"/>
  <c r="U125" i="5"/>
  <c r="U126" i="5"/>
  <c r="U65" i="5"/>
  <c r="U62" i="5"/>
  <c r="U63" i="5"/>
  <c r="U64" i="5"/>
  <c r="U60" i="5"/>
  <c r="U61" i="5"/>
  <c r="V60" i="5"/>
  <c r="E28" i="8" s="1"/>
  <c r="V62" i="5"/>
  <c r="E30" i="8" s="1"/>
  <c r="V63" i="5"/>
  <c r="E31" i="8" s="1"/>
  <c r="V64" i="5"/>
  <c r="E32" i="8" s="1"/>
  <c r="V65" i="5"/>
  <c r="V61" i="5"/>
  <c r="E29" i="8" s="1"/>
  <c r="V100" i="5"/>
  <c r="V98" i="5"/>
  <c r="E54" i="8" s="1"/>
  <c r="V95" i="5"/>
  <c r="E51" i="8" s="1"/>
  <c r="V96" i="5"/>
  <c r="E52" i="8" s="1"/>
  <c r="V97" i="5"/>
  <c r="E53" i="8" s="1"/>
  <c r="V99" i="5"/>
  <c r="E55" i="8" s="1"/>
  <c r="V58" i="5"/>
  <c r="V55" i="5"/>
  <c r="E25" i="8" s="1"/>
  <c r="V54" i="5"/>
  <c r="E24" i="8" s="1"/>
  <c r="V56" i="5"/>
  <c r="E26" i="8" s="1"/>
  <c r="V57" i="5"/>
  <c r="E27" i="8" s="1"/>
  <c r="V53" i="5"/>
  <c r="U191" i="5"/>
  <c r="U190" i="5"/>
  <c r="U186" i="5"/>
  <c r="U187" i="5"/>
  <c r="U188" i="5"/>
  <c r="U189" i="5"/>
  <c r="U156" i="5"/>
  <c r="U151" i="5"/>
  <c r="U152" i="5"/>
  <c r="U153" i="5"/>
  <c r="U154" i="5"/>
  <c r="U155" i="5"/>
  <c r="U135" i="5"/>
  <c r="U131" i="5"/>
  <c r="U132" i="5"/>
  <c r="U133" i="5"/>
  <c r="U134" i="5"/>
  <c r="U130" i="5"/>
  <c r="U198" i="5"/>
  <c r="U194" i="5"/>
  <c r="U195" i="5"/>
  <c r="U196" i="5"/>
  <c r="U197" i="5"/>
  <c r="U193" i="5"/>
  <c r="U184" i="5"/>
  <c r="U179" i="5"/>
  <c r="U180" i="5"/>
  <c r="U181" i="5"/>
  <c r="U182" i="5"/>
  <c r="U183" i="5"/>
  <c r="V196" i="5"/>
  <c r="E123" i="8" s="1"/>
  <c r="V198" i="5"/>
  <c r="V194" i="5"/>
  <c r="E121" i="8" s="1"/>
  <c r="V197" i="5"/>
  <c r="E124" i="8" s="1"/>
  <c r="V193" i="5"/>
  <c r="E120" i="8" s="1"/>
  <c r="V195" i="5"/>
  <c r="E122" i="8" s="1"/>
  <c r="V107" i="5"/>
  <c r="V103" i="5"/>
  <c r="E57" i="8" s="1"/>
  <c r="V102" i="5"/>
  <c r="E56" i="8" s="1"/>
  <c r="V106" i="5"/>
  <c r="E60" i="8" s="1"/>
  <c r="V105" i="5"/>
  <c r="E59" i="8" s="1"/>
  <c r="V104" i="5"/>
  <c r="E58" i="8" s="1"/>
  <c r="V116" i="5"/>
  <c r="E66" i="8" s="1"/>
  <c r="V119" i="5"/>
  <c r="E69" i="8" s="1"/>
  <c r="V118" i="5"/>
  <c r="E68" i="8" s="1"/>
  <c r="V120" i="5"/>
  <c r="E70" i="8" s="1"/>
  <c r="V121" i="5"/>
  <c r="V117" i="5"/>
  <c r="E67" i="8" s="1"/>
  <c r="U205" i="5"/>
  <c r="U200" i="5"/>
  <c r="U201" i="5"/>
  <c r="U202" i="5"/>
  <c r="U203" i="5"/>
  <c r="U204" i="5"/>
  <c r="U72" i="5"/>
  <c r="U67" i="5"/>
  <c r="U68" i="5"/>
  <c r="U69" i="5"/>
  <c r="U70" i="5"/>
  <c r="U71" i="5"/>
  <c r="U44" i="5"/>
  <c r="U39" i="5"/>
  <c r="U40" i="5"/>
  <c r="U41" i="5"/>
  <c r="U42" i="5"/>
  <c r="U43" i="5"/>
  <c r="V132" i="5"/>
  <c r="E78" i="8" s="1"/>
  <c r="V135" i="5"/>
  <c r="V134" i="5"/>
  <c r="E80" i="8" s="1"/>
  <c r="V130" i="5"/>
  <c r="E76" i="8" s="1"/>
  <c r="V131" i="5"/>
  <c r="E77" i="8" s="1"/>
  <c r="V133" i="5"/>
  <c r="E79" i="8" s="1"/>
  <c r="V204" i="5"/>
  <c r="E129" i="8" s="1"/>
  <c r="V203" i="5"/>
  <c r="E128" i="8" s="1"/>
  <c r="V200" i="5"/>
  <c r="E125" i="8" s="1"/>
  <c r="V201" i="5"/>
  <c r="E126" i="8" s="1"/>
  <c r="V202" i="5"/>
  <c r="E127" i="8" s="1"/>
  <c r="V84" i="5"/>
  <c r="V86" i="5"/>
  <c r="V82" i="5"/>
  <c r="E44" i="8" s="1"/>
  <c r="V85" i="5"/>
  <c r="V81" i="5"/>
  <c r="E43" i="8" s="1"/>
  <c r="V83" i="5"/>
  <c r="E45" i="8" s="1"/>
  <c r="U149" i="5"/>
  <c r="U147" i="5"/>
  <c r="U148" i="5"/>
  <c r="U144" i="5"/>
  <c r="U145" i="5"/>
  <c r="U146" i="5"/>
  <c r="U177" i="5"/>
  <c r="U174" i="5"/>
  <c r="U173" i="5"/>
  <c r="U176" i="5"/>
  <c r="U172" i="5"/>
  <c r="U175" i="5"/>
  <c r="U79" i="5"/>
  <c r="U78" i="5"/>
  <c r="U74" i="5"/>
  <c r="U75" i="5"/>
  <c r="U76" i="5"/>
  <c r="U77" i="5"/>
  <c r="W25" i="3"/>
  <c r="D7" i="8" s="1"/>
  <c r="F7" i="8" s="1"/>
  <c r="D11" i="5"/>
  <c r="C11" i="4" s="1"/>
  <c r="D12" i="5"/>
  <c r="C9" i="4" s="1"/>
  <c r="J14" i="34"/>
  <c r="V26" i="3"/>
  <c r="Q27" i="3"/>
  <c r="R27" i="3" s="1"/>
  <c r="Q25" i="5"/>
  <c r="R25" i="5" s="1"/>
  <c r="S25" i="5"/>
  <c r="E28" i="3"/>
  <c r="K28" i="3" s="1"/>
  <c r="L28" i="3" s="1"/>
  <c r="V28" i="3" s="1"/>
  <c r="U31" i="5" l="1"/>
  <c r="T25" i="5"/>
  <c r="V31" i="5" s="1"/>
  <c r="V44" i="5"/>
  <c r="V40" i="5"/>
  <c r="E15" i="8" s="1"/>
  <c r="V41" i="5"/>
  <c r="E16" i="8" s="1"/>
  <c r="V42" i="5"/>
  <c r="E17" i="8" s="1"/>
  <c r="V43" i="5"/>
  <c r="E18" i="8" s="1"/>
  <c r="V39" i="5"/>
  <c r="U35" i="5"/>
  <c r="U34" i="5"/>
  <c r="U33" i="5"/>
  <c r="U32" i="5"/>
  <c r="U37" i="5"/>
  <c r="U36" i="5"/>
  <c r="J7" i="8"/>
  <c r="W26" i="3"/>
  <c r="D8" i="8" s="1"/>
  <c r="F8" i="8" s="1"/>
  <c r="J8" i="8" s="1"/>
  <c r="J10" i="34"/>
  <c r="J8" i="34"/>
  <c r="J6" i="8"/>
  <c r="Q28" i="3"/>
  <c r="R28" i="3" s="1"/>
  <c r="E29" i="3"/>
  <c r="K29" i="3" s="1"/>
  <c r="L29" i="3" s="1"/>
  <c r="V36" i="5" l="1"/>
  <c r="V33" i="5"/>
  <c r="E12" i="8" s="1"/>
  <c r="V34" i="5"/>
  <c r="E13" i="8" s="1"/>
  <c r="V35" i="5"/>
  <c r="E14" i="8" s="1"/>
  <c r="V37" i="5"/>
  <c r="V32" i="5"/>
  <c r="E11" i="8" s="1"/>
  <c r="W27" i="3"/>
  <c r="D9" i="8" s="1"/>
  <c r="F9" i="8" s="1"/>
  <c r="V29" i="3"/>
  <c r="Q29" i="3"/>
  <c r="R29" i="3" s="1"/>
  <c r="E30" i="3"/>
  <c r="K30" i="3" s="1"/>
  <c r="L30" i="3" s="1"/>
  <c r="W28" i="3" l="1"/>
  <c r="D10" i="8" s="1"/>
  <c r="F10" i="8" s="1"/>
  <c r="Q30" i="3"/>
  <c r="R30" i="3" s="1"/>
  <c r="E31" i="3"/>
  <c r="K31" i="3" s="1"/>
  <c r="L31" i="3" s="1"/>
  <c r="Q31" i="3" l="1"/>
  <c r="R31" i="3" s="1"/>
  <c r="E32" i="3"/>
  <c r="K32" i="3" s="1"/>
  <c r="L32" i="3" s="1"/>
  <c r="V32" i="3" s="1"/>
  <c r="Q32" i="3" l="1"/>
  <c r="R32" i="3" s="1"/>
  <c r="E33" i="3"/>
  <c r="K33" i="3" s="1"/>
  <c r="L33" i="3" s="1"/>
  <c r="V33" i="3" l="1"/>
  <c r="Q33" i="3"/>
  <c r="R33" i="3" s="1"/>
  <c r="E34" i="3"/>
  <c r="K34" i="3" s="1"/>
  <c r="L34" i="3" s="1"/>
  <c r="V34" i="3" l="1"/>
  <c r="Q34" i="3"/>
  <c r="R34" i="3" s="1"/>
  <c r="E35" i="3"/>
  <c r="K35" i="3" s="1"/>
  <c r="L35" i="3" s="1"/>
  <c r="Q35" i="3" l="1"/>
  <c r="R35" i="3" s="1"/>
  <c r="E36" i="3"/>
  <c r="K36" i="3" s="1"/>
  <c r="L36" i="3" s="1"/>
  <c r="V36" i="3" l="1"/>
  <c r="Q36" i="3"/>
  <c r="R36" i="3" s="1"/>
  <c r="E37" i="3"/>
  <c r="K37" i="3" s="1"/>
  <c r="L37" i="3" s="1"/>
  <c r="V37" i="3" l="1"/>
  <c r="Q37" i="3"/>
  <c r="R37" i="3" s="1"/>
  <c r="E38" i="3"/>
  <c r="K38" i="3" s="1"/>
  <c r="L38" i="3" s="1"/>
  <c r="V38" i="3" l="1"/>
  <c r="Q38" i="3"/>
  <c r="R38" i="3" s="1"/>
  <c r="E39" i="3"/>
  <c r="K39" i="3" s="1"/>
  <c r="L39" i="3" s="1"/>
  <c r="V39" i="3" l="1"/>
  <c r="Q39" i="3"/>
  <c r="R39" i="3" s="1"/>
  <c r="E40" i="3"/>
  <c r="K40" i="3" s="1"/>
  <c r="L40" i="3" s="1"/>
  <c r="V40" i="3" l="1"/>
  <c r="Q40" i="3"/>
  <c r="R40" i="3" s="1"/>
  <c r="E41" i="3"/>
  <c r="K41" i="3" s="1"/>
  <c r="L41" i="3" s="1"/>
  <c r="Q41" i="3" l="1"/>
  <c r="R41" i="3" s="1"/>
  <c r="E42" i="3"/>
  <c r="K42" i="3" s="1"/>
  <c r="L42" i="3" s="1"/>
  <c r="V42" i="3" l="1"/>
  <c r="Q42" i="3"/>
  <c r="R42" i="3" s="1"/>
  <c r="E43" i="3"/>
  <c r="K43" i="3" l="1"/>
  <c r="E44" i="3"/>
  <c r="K44" i="3" s="1"/>
  <c r="L44" i="3" s="1"/>
  <c r="V44" i="3" l="1"/>
  <c r="Q44" i="3"/>
  <c r="R44" i="3" s="1"/>
  <c r="L43" i="3"/>
  <c r="E45" i="3"/>
  <c r="K45" i="3" s="1"/>
  <c r="L45" i="3" s="1"/>
  <c r="V45" i="3" l="1"/>
  <c r="Q45" i="3"/>
  <c r="R45" i="3" s="1"/>
  <c r="V43" i="3"/>
  <c r="W46" i="3" s="1"/>
  <c r="D28" i="8" s="1"/>
  <c r="F28" i="8" s="1"/>
  <c r="Q43" i="3"/>
  <c r="R43" i="3" s="1"/>
  <c r="E46" i="3"/>
  <c r="K46" i="3" s="1"/>
  <c r="L46" i="3" s="1"/>
  <c r="W47" i="3" l="1"/>
  <c r="D29" i="8" s="1"/>
  <c r="F29" i="8" s="1"/>
  <c r="V46" i="3"/>
  <c r="Q46" i="3"/>
  <c r="R46" i="3" s="1"/>
  <c r="E47" i="3"/>
  <c r="K47" i="3" s="1"/>
  <c r="L47" i="3" s="1"/>
  <c r="W48" i="3" l="1"/>
  <c r="D30" i="8" s="1"/>
  <c r="F30" i="8" s="1"/>
  <c r="V47" i="3"/>
  <c r="Q47" i="3"/>
  <c r="R47" i="3" s="1"/>
  <c r="E48" i="3"/>
  <c r="K48" i="3" s="1"/>
  <c r="L48" i="3" s="1"/>
  <c r="W49" i="3" l="1"/>
  <c r="D31" i="8" s="1"/>
  <c r="F31" i="8" s="1"/>
  <c r="V48" i="3"/>
  <c r="Q48" i="3"/>
  <c r="R48" i="3" s="1"/>
  <c r="E49" i="3"/>
  <c r="K49" i="3" s="1"/>
  <c r="L49" i="3" s="1"/>
  <c r="W50" i="3" l="1"/>
  <c r="D32" i="8" s="1"/>
  <c r="F32" i="8" s="1"/>
  <c r="V49" i="3"/>
  <c r="Q49" i="3"/>
  <c r="R49" i="3" s="1"/>
  <c r="E50" i="3"/>
  <c r="K50" i="3" s="1"/>
  <c r="L50" i="3" s="1"/>
  <c r="V50" i="3" l="1"/>
  <c r="Q50" i="3"/>
  <c r="R50" i="3" s="1"/>
  <c r="E51" i="3"/>
  <c r="K51" i="3" s="1"/>
  <c r="L51" i="3" s="1"/>
  <c r="J32" i="8" l="1"/>
  <c r="W51" i="3"/>
  <c r="D33" i="8" s="1"/>
  <c r="F33" i="8" s="1"/>
  <c r="V51" i="3"/>
  <c r="Q51" i="3"/>
  <c r="R51" i="3" s="1"/>
  <c r="E52" i="3"/>
  <c r="K52" i="3" s="1"/>
  <c r="L52" i="3" s="1"/>
  <c r="J33" i="8" l="1"/>
  <c r="W52" i="3"/>
  <c r="D34" i="8" s="1"/>
  <c r="F34" i="8" s="1"/>
  <c r="V52" i="3"/>
  <c r="Q52" i="3"/>
  <c r="R52" i="3" s="1"/>
  <c r="E53" i="3"/>
  <c r="K53" i="3" s="1"/>
  <c r="L53" i="3" s="1"/>
  <c r="W53" i="3" l="1"/>
  <c r="D35" i="8" s="1"/>
  <c r="F35" i="8" s="1"/>
  <c r="J34" i="8"/>
  <c r="V53" i="3"/>
  <c r="Q53" i="3"/>
  <c r="R53" i="3" s="1"/>
  <c r="E54" i="3"/>
  <c r="K54" i="3" s="1"/>
  <c r="L54" i="3" s="1"/>
  <c r="W54" i="3" l="1"/>
  <c r="D36" i="8" s="1"/>
  <c r="F36" i="8" s="1"/>
  <c r="J35" i="8"/>
  <c r="V54" i="3"/>
  <c r="Q54" i="3"/>
  <c r="R54" i="3" s="1"/>
  <c r="E55" i="3"/>
  <c r="K55" i="3" s="1"/>
  <c r="L55" i="3" s="1"/>
  <c r="W55" i="3" l="1"/>
  <c r="D37" i="8" s="1"/>
  <c r="F37" i="8" s="1"/>
  <c r="J36" i="8"/>
  <c r="V55" i="3"/>
  <c r="Q55" i="3"/>
  <c r="R55" i="3" s="1"/>
  <c r="E56" i="3"/>
  <c r="K56" i="3" s="1"/>
  <c r="L56" i="3" s="1"/>
  <c r="J37" i="8" l="1"/>
  <c r="W56" i="3"/>
  <c r="D38" i="8" s="1"/>
  <c r="F38" i="8" s="1"/>
  <c r="V56" i="3"/>
  <c r="Q56" i="3"/>
  <c r="R56" i="3" s="1"/>
  <c r="E57" i="3"/>
  <c r="K57" i="3" s="1"/>
  <c r="L57" i="3" s="1"/>
  <c r="W57" i="3" l="1"/>
  <c r="D39" i="8" s="1"/>
  <c r="F39" i="8" s="1"/>
  <c r="J38" i="8"/>
  <c r="V57" i="3"/>
  <c r="Q57" i="3"/>
  <c r="R57" i="3" s="1"/>
  <c r="E58" i="3"/>
  <c r="K58" i="3" s="1"/>
  <c r="L58" i="3" s="1"/>
  <c r="W58" i="3" l="1"/>
  <c r="D40" i="8" s="1"/>
  <c r="F40" i="8" s="1"/>
  <c r="J39" i="8"/>
  <c r="V58" i="3"/>
  <c r="Q58" i="3"/>
  <c r="R58" i="3" s="1"/>
  <c r="E59" i="3"/>
  <c r="K59" i="3" s="1"/>
  <c r="L59" i="3" s="1"/>
  <c r="W59" i="3" l="1"/>
  <c r="D41" i="8" s="1"/>
  <c r="F41" i="8" s="1"/>
  <c r="J40" i="8"/>
  <c r="V59" i="3"/>
  <c r="Q59" i="3"/>
  <c r="R59" i="3" s="1"/>
  <c r="E60" i="3"/>
  <c r="K60" i="3" s="1"/>
  <c r="L60" i="3" s="1"/>
  <c r="W60" i="3" l="1"/>
  <c r="D42" i="8" s="1"/>
  <c r="F42" i="8" s="1"/>
  <c r="J41" i="8"/>
  <c r="V60" i="3"/>
  <c r="Q60" i="3"/>
  <c r="R60" i="3" s="1"/>
  <c r="E61" i="3"/>
  <c r="K61" i="3" s="1"/>
  <c r="L61" i="3" s="1"/>
  <c r="J42" i="8" l="1"/>
  <c r="W61" i="3"/>
  <c r="D43" i="8" s="1"/>
  <c r="F43" i="8" s="1"/>
  <c r="V61" i="3"/>
  <c r="Q61" i="3"/>
  <c r="R61" i="3" s="1"/>
  <c r="E62" i="3"/>
  <c r="K62" i="3" s="1"/>
  <c r="L62" i="3" s="1"/>
  <c r="W62" i="3" l="1"/>
  <c r="D44" i="8" s="1"/>
  <c r="F44" i="8" s="1"/>
  <c r="J43" i="8"/>
  <c r="V62" i="3"/>
  <c r="Q62" i="3"/>
  <c r="R62" i="3" s="1"/>
  <c r="E63" i="3"/>
  <c r="K63" i="3" s="1"/>
  <c r="L63" i="3" s="1"/>
  <c r="W63" i="3" l="1"/>
  <c r="D45" i="8" s="1"/>
  <c r="F45" i="8" s="1"/>
  <c r="J44" i="8"/>
  <c r="V63" i="3"/>
  <c r="W64" i="3" s="1"/>
  <c r="D46" i="8" s="1"/>
  <c r="F46" i="8" s="1"/>
  <c r="Q63" i="3"/>
  <c r="R63" i="3" s="1"/>
  <c r="E64" i="3"/>
  <c r="K64" i="3" s="1"/>
  <c r="L64" i="3" s="1"/>
  <c r="J45" i="8" l="1"/>
  <c r="W65" i="3"/>
  <c r="D47" i="8" s="1"/>
  <c r="F47" i="8" s="1"/>
  <c r="V64" i="3"/>
  <c r="Q64" i="3"/>
  <c r="R64" i="3" s="1"/>
  <c r="E65" i="3"/>
  <c r="K65" i="3" s="1"/>
  <c r="L65" i="3" s="1"/>
  <c r="J46" i="8" l="1"/>
  <c r="W66" i="3"/>
  <c r="D48" i="8" s="1"/>
  <c r="F48" i="8" s="1"/>
  <c r="V65" i="3"/>
  <c r="Q65" i="3"/>
  <c r="R65" i="3" s="1"/>
  <c r="E66" i="3"/>
  <c r="K66" i="3" s="1"/>
  <c r="L66" i="3" s="1"/>
  <c r="J47" i="8" l="1"/>
  <c r="W67" i="3"/>
  <c r="D49" i="8" s="1"/>
  <c r="F49" i="8" s="1"/>
  <c r="V66" i="3"/>
  <c r="Q66" i="3"/>
  <c r="R66" i="3" s="1"/>
  <c r="E67" i="3"/>
  <c r="K67" i="3" s="1"/>
  <c r="L67" i="3" s="1"/>
  <c r="W68" i="3" l="1"/>
  <c r="D50" i="8" s="1"/>
  <c r="F50" i="8" s="1"/>
  <c r="J48" i="8"/>
  <c r="V67" i="3"/>
  <c r="Q67" i="3"/>
  <c r="R67" i="3" s="1"/>
  <c r="E68" i="3"/>
  <c r="K68" i="3" s="1"/>
  <c r="L68" i="3" s="1"/>
  <c r="J49" i="8" l="1"/>
  <c r="V68" i="3"/>
  <c r="W69" i="3" s="1"/>
  <c r="D51" i="8" s="1"/>
  <c r="F51" i="8" s="1"/>
  <c r="Q68" i="3"/>
  <c r="R68" i="3" s="1"/>
  <c r="E69" i="3"/>
  <c r="K69" i="3" s="1"/>
  <c r="L69" i="3" s="1"/>
  <c r="J50" i="8" l="1"/>
  <c r="W70" i="3"/>
  <c r="D52" i="8" s="1"/>
  <c r="F52" i="8" s="1"/>
  <c r="V69" i="3"/>
  <c r="Q69" i="3"/>
  <c r="R69" i="3" s="1"/>
  <c r="E70" i="3"/>
  <c r="K70" i="3" s="1"/>
  <c r="L70" i="3" s="1"/>
  <c r="W71" i="3" l="1"/>
  <c r="D53" i="8" s="1"/>
  <c r="F53" i="8" s="1"/>
  <c r="J51" i="8"/>
  <c r="V70" i="3"/>
  <c r="Q70" i="3"/>
  <c r="R70" i="3" s="1"/>
  <c r="E71" i="3"/>
  <c r="K71" i="3" s="1"/>
  <c r="L71" i="3" s="1"/>
  <c r="J52" i="8" l="1"/>
  <c r="W72" i="3"/>
  <c r="D54" i="8" s="1"/>
  <c r="F54" i="8" s="1"/>
  <c r="V71" i="3"/>
  <c r="Q71" i="3"/>
  <c r="R71" i="3" s="1"/>
  <c r="E72" i="3"/>
  <c r="K72" i="3" s="1"/>
  <c r="L72" i="3" s="1"/>
  <c r="W73" i="3" l="1"/>
  <c r="D55" i="8" s="1"/>
  <c r="F55" i="8" s="1"/>
  <c r="J53" i="8"/>
  <c r="V72" i="3"/>
  <c r="Q72" i="3"/>
  <c r="R72" i="3" s="1"/>
  <c r="E73" i="3"/>
  <c r="K73" i="3" s="1"/>
  <c r="L73" i="3" s="1"/>
  <c r="J54" i="8" l="1"/>
  <c r="V73" i="3"/>
  <c r="W74" i="3" s="1"/>
  <c r="D56" i="8" s="1"/>
  <c r="F56" i="8" s="1"/>
  <c r="Q73" i="3"/>
  <c r="R73" i="3" s="1"/>
  <c r="E74" i="3"/>
  <c r="K74" i="3" s="1"/>
  <c r="L74" i="3" s="1"/>
  <c r="J55" i="8" l="1"/>
  <c r="W75" i="3"/>
  <c r="D57" i="8" s="1"/>
  <c r="F57" i="8" s="1"/>
  <c r="V74" i="3"/>
  <c r="Q74" i="3"/>
  <c r="R74" i="3" s="1"/>
  <c r="E75" i="3"/>
  <c r="K75" i="3" s="1"/>
  <c r="L75" i="3" s="1"/>
  <c r="J56" i="8" l="1"/>
  <c r="W76" i="3"/>
  <c r="D58" i="8" s="1"/>
  <c r="F58" i="8" s="1"/>
  <c r="V75" i="3"/>
  <c r="Q75" i="3"/>
  <c r="R75" i="3" s="1"/>
  <c r="E76" i="3"/>
  <c r="K76" i="3" s="1"/>
  <c r="L76" i="3" s="1"/>
  <c r="J57" i="8" l="1"/>
  <c r="W77" i="3"/>
  <c r="D59" i="8" s="1"/>
  <c r="F59" i="8" s="1"/>
  <c r="V76" i="3"/>
  <c r="Q76" i="3"/>
  <c r="R76" i="3" s="1"/>
  <c r="E77" i="3"/>
  <c r="K77" i="3" s="1"/>
  <c r="L77" i="3" s="1"/>
  <c r="W78" i="3" l="1"/>
  <c r="D60" i="8" s="1"/>
  <c r="F60" i="8" s="1"/>
  <c r="J58" i="8"/>
  <c r="V77" i="3"/>
  <c r="Q77" i="3"/>
  <c r="R77" i="3" s="1"/>
  <c r="E78" i="3"/>
  <c r="K78" i="3" s="1"/>
  <c r="L78" i="3" s="1"/>
  <c r="J59" i="8" l="1"/>
  <c r="V78" i="3"/>
  <c r="W79" i="3" s="1"/>
  <c r="D61" i="8" s="1"/>
  <c r="F61" i="8" s="1"/>
  <c r="Q78" i="3"/>
  <c r="R78" i="3" s="1"/>
  <c r="E79" i="3"/>
  <c r="K79" i="3" s="1"/>
  <c r="L79" i="3" s="1"/>
  <c r="J60" i="8" l="1"/>
  <c r="W80" i="3"/>
  <c r="D62" i="8" s="1"/>
  <c r="F62" i="8" s="1"/>
  <c r="V79" i="3"/>
  <c r="Q79" i="3"/>
  <c r="R79" i="3" s="1"/>
  <c r="E80" i="3"/>
  <c r="K80" i="3" s="1"/>
  <c r="L80" i="3" s="1"/>
  <c r="J61" i="8" l="1"/>
  <c r="W81" i="3"/>
  <c r="D63" i="8" s="1"/>
  <c r="F63" i="8" s="1"/>
  <c r="V80" i="3"/>
  <c r="Q80" i="3"/>
  <c r="R80" i="3" s="1"/>
  <c r="E81" i="3"/>
  <c r="K81" i="3" s="1"/>
  <c r="L81" i="3" s="1"/>
  <c r="J62" i="8" l="1"/>
  <c r="W82" i="3"/>
  <c r="D64" i="8" s="1"/>
  <c r="F64" i="8" s="1"/>
  <c r="V81" i="3"/>
  <c r="Q81" i="3"/>
  <c r="R81" i="3" s="1"/>
  <c r="E82" i="3"/>
  <c r="K82" i="3" s="1"/>
  <c r="L82" i="3" s="1"/>
  <c r="W83" i="3" l="1"/>
  <c r="D65" i="8" s="1"/>
  <c r="F65" i="8" s="1"/>
  <c r="J63" i="8"/>
  <c r="V82" i="3"/>
  <c r="Q82" i="3"/>
  <c r="R82" i="3" s="1"/>
  <c r="E83" i="3"/>
  <c r="K83" i="3" s="1"/>
  <c r="L83" i="3" s="1"/>
  <c r="J64" i="8" l="1"/>
  <c r="V83" i="3"/>
  <c r="W84" i="3" s="1"/>
  <c r="D66" i="8" s="1"/>
  <c r="F66" i="8" s="1"/>
  <c r="Q83" i="3"/>
  <c r="R83" i="3" s="1"/>
  <c r="E84" i="3"/>
  <c r="K84" i="3" s="1"/>
  <c r="L84" i="3" s="1"/>
  <c r="J65" i="8" l="1"/>
  <c r="W85" i="3"/>
  <c r="D67" i="8" s="1"/>
  <c r="F67" i="8" s="1"/>
  <c r="V84" i="3"/>
  <c r="Q84" i="3"/>
  <c r="R84" i="3" s="1"/>
  <c r="E85" i="3"/>
  <c r="K85" i="3" s="1"/>
  <c r="L85" i="3" s="1"/>
  <c r="J66" i="8" l="1"/>
  <c r="W86" i="3"/>
  <c r="D68" i="8" s="1"/>
  <c r="F68" i="8" s="1"/>
  <c r="V85" i="3"/>
  <c r="Q85" i="3"/>
  <c r="R85" i="3" s="1"/>
  <c r="E86" i="3"/>
  <c r="K86" i="3" s="1"/>
  <c r="L86" i="3" s="1"/>
  <c r="J67" i="8" l="1"/>
  <c r="W87" i="3"/>
  <c r="D69" i="8" s="1"/>
  <c r="F69" i="8" s="1"/>
  <c r="V86" i="3"/>
  <c r="Q86" i="3"/>
  <c r="R86" i="3" s="1"/>
  <c r="E87" i="3"/>
  <c r="K87" i="3" s="1"/>
  <c r="L87" i="3" s="1"/>
  <c r="W88" i="3" l="1"/>
  <c r="D70" i="8" s="1"/>
  <c r="F70" i="8" s="1"/>
  <c r="J68" i="8"/>
  <c r="V87" i="3"/>
  <c r="Q87" i="3"/>
  <c r="R87" i="3" s="1"/>
  <c r="E88" i="3"/>
  <c r="K88" i="3" s="1"/>
  <c r="L88" i="3" s="1"/>
  <c r="J69" i="8" l="1"/>
  <c r="V88" i="3"/>
  <c r="W89" i="3" s="1"/>
  <c r="D71" i="8" s="1"/>
  <c r="F71" i="8" s="1"/>
  <c r="Q88" i="3"/>
  <c r="R88" i="3" s="1"/>
  <c r="E89" i="3"/>
  <c r="K89" i="3" s="1"/>
  <c r="L89" i="3" s="1"/>
  <c r="J70" i="8" l="1"/>
  <c r="W90" i="3"/>
  <c r="D72" i="8" s="1"/>
  <c r="F72" i="8" s="1"/>
  <c r="V89" i="3"/>
  <c r="Q89" i="3"/>
  <c r="R89" i="3" s="1"/>
  <c r="E90" i="3"/>
  <c r="K90" i="3" s="1"/>
  <c r="L90" i="3" s="1"/>
  <c r="J71" i="8" l="1"/>
  <c r="W91" i="3"/>
  <c r="D73" i="8" s="1"/>
  <c r="F73" i="8" s="1"/>
  <c r="V90" i="3"/>
  <c r="Q90" i="3"/>
  <c r="R90" i="3" s="1"/>
  <c r="E91" i="3"/>
  <c r="K91" i="3" s="1"/>
  <c r="L91" i="3" s="1"/>
  <c r="J72" i="8" l="1"/>
  <c r="W92" i="3"/>
  <c r="D74" i="8" s="1"/>
  <c r="F74" i="8" s="1"/>
  <c r="V91" i="3"/>
  <c r="Q91" i="3"/>
  <c r="R91" i="3" s="1"/>
  <c r="E92" i="3"/>
  <c r="K92" i="3" s="1"/>
  <c r="L92" i="3" s="1"/>
  <c r="W93" i="3" l="1"/>
  <c r="D75" i="8" s="1"/>
  <c r="F75" i="8" s="1"/>
  <c r="J73" i="8"/>
  <c r="V92" i="3"/>
  <c r="Q92" i="3"/>
  <c r="R92" i="3" s="1"/>
  <c r="E93" i="3"/>
  <c r="K93" i="3" s="1"/>
  <c r="L93" i="3" s="1"/>
  <c r="J74" i="8" l="1"/>
  <c r="V93" i="3"/>
  <c r="W94" i="3" s="1"/>
  <c r="D76" i="8" s="1"/>
  <c r="F76" i="8" s="1"/>
  <c r="Q93" i="3"/>
  <c r="R93" i="3" s="1"/>
  <c r="E94" i="3"/>
  <c r="K94" i="3" s="1"/>
  <c r="L94" i="3" s="1"/>
  <c r="J75" i="8" l="1"/>
  <c r="W95" i="3"/>
  <c r="D77" i="8" s="1"/>
  <c r="F77" i="8" s="1"/>
  <c r="V94" i="3"/>
  <c r="Q94" i="3"/>
  <c r="R94" i="3" s="1"/>
  <c r="E95" i="3"/>
  <c r="K95" i="3" s="1"/>
  <c r="L95" i="3" s="1"/>
  <c r="J76" i="8" l="1"/>
  <c r="W96" i="3"/>
  <c r="D78" i="8" s="1"/>
  <c r="F78" i="8" s="1"/>
  <c r="V95" i="3"/>
  <c r="Q95" i="3"/>
  <c r="R95" i="3" s="1"/>
  <c r="E96" i="3"/>
  <c r="K96" i="3" s="1"/>
  <c r="L96" i="3" s="1"/>
  <c r="J77" i="8" l="1"/>
  <c r="W97" i="3"/>
  <c r="D79" i="8" s="1"/>
  <c r="F79" i="8" s="1"/>
  <c r="V96" i="3"/>
  <c r="Q96" i="3"/>
  <c r="R96" i="3" s="1"/>
  <c r="E97" i="3"/>
  <c r="K97" i="3" s="1"/>
  <c r="L97" i="3" s="1"/>
  <c r="W98" i="3" l="1"/>
  <c r="D80" i="8" s="1"/>
  <c r="F80" i="8" s="1"/>
  <c r="J78" i="8"/>
  <c r="V97" i="3"/>
  <c r="Q97" i="3"/>
  <c r="R97" i="3" s="1"/>
  <c r="E98" i="3"/>
  <c r="K98" i="3" s="1"/>
  <c r="L98" i="3" s="1"/>
  <c r="J79" i="8" l="1"/>
  <c r="V98" i="3"/>
  <c r="W99" i="3" s="1"/>
  <c r="D81" i="8" s="1"/>
  <c r="F81" i="8" s="1"/>
  <c r="Q98" i="3"/>
  <c r="R98" i="3" s="1"/>
  <c r="E99" i="3"/>
  <c r="K99" i="3" s="1"/>
  <c r="L99" i="3" s="1"/>
  <c r="J80" i="8" l="1"/>
  <c r="W100" i="3"/>
  <c r="D82" i="8" s="1"/>
  <c r="F82" i="8" s="1"/>
  <c r="V99" i="3"/>
  <c r="Q99" i="3"/>
  <c r="R99" i="3" s="1"/>
  <c r="E100" i="3"/>
  <c r="K100" i="3" s="1"/>
  <c r="L100" i="3" s="1"/>
  <c r="W101" i="3" l="1"/>
  <c r="D83" i="8" s="1"/>
  <c r="F83" i="8" s="1"/>
  <c r="J81" i="8"/>
  <c r="V100" i="3"/>
  <c r="Q100" i="3"/>
  <c r="R100" i="3" s="1"/>
  <c r="E101" i="3"/>
  <c r="K101" i="3" s="1"/>
  <c r="L101" i="3" s="1"/>
  <c r="J82" i="8" l="1"/>
  <c r="W102" i="3"/>
  <c r="D84" i="8" s="1"/>
  <c r="F84" i="8" s="1"/>
  <c r="V101" i="3"/>
  <c r="Q101" i="3"/>
  <c r="R101" i="3" s="1"/>
  <c r="E102" i="3"/>
  <c r="K102" i="3" s="1"/>
  <c r="L102" i="3" s="1"/>
  <c r="W103" i="3" l="1"/>
  <c r="D85" i="8" s="1"/>
  <c r="F85" i="8" s="1"/>
  <c r="J83" i="8"/>
  <c r="V102" i="3"/>
  <c r="Q102" i="3"/>
  <c r="R102" i="3" s="1"/>
  <c r="E103" i="3"/>
  <c r="K103" i="3" s="1"/>
  <c r="L103" i="3" s="1"/>
  <c r="J84" i="8" l="1"/>
  <c r="V103" i="3"/>
  <c r="W104" i="3" s="1"/>
  <c r="D86" i="8" s="1"/>
  <c r="F86" i="8" s="1"/>
  <c r="Q103" i="3"/>
  <c r="R103" i="3" s="1"/>
  <c r="E104" i="3"/>
  <c r="K104" i="3" s="1"/>
  <c r="L104" i="3" s="1"/>
  <c r="J85" i="8" l="1"/>
  <c r="W105" i="3"/>
  <c r="D87" i="8" s="1"/>
  <c r="F87" i="8" s="1"/>
  <c r="V104" i="3"/>
  <c r="Q104" i="3"/>
  <c r="R104" i="3" s="1"/>
  <c r="E105" i="3"/>
  <c r="K105" i="3" s="1"/>
  <c r="L105" i="3" s="1"/>
  <c r="J86" i="8" l="1"/>
  <c r="W106" i="3"/>
  <c r="D88" i="8" s="1"/>
  <c r="F88" i="8" s="1"/>
  <c r="V105" i="3"/>
  <c r="Q105" i="3"/>
  <c r="R105" i="3" s="1"/>
  <c r="E106" i="3"/>
  <c r="K106" i="3" s="1"/>
  <c r="L106" i="3" s="1"/>
  <c r="J87" i="8" l="1"/>
  <c r="W107" i="3"/>
  <c r="D89" i="8" s="1"/>
  <c r="F89" i="8" s="1"/>
  <c r="V106" i="3"/>
  <c r="Q106" i="3"/>
  <c r="R106" i="3" s="1"/>
  <c r="E107" i="3"/>
  <c r="K107" i="3" s="1"/>
  <c r="W108" i="3" l="1"/>
  <c r="D90" i="8" s="1"/>
  <c r="F90" i="8" s="1"/>
  <c r="J88" i="8"/>
  <c r="L107" i="3"/>
  <c r="D10" i="3"/>
  <c r="E108" i="3"/>
  <c r="K108" i="3" s="1"/>
  <c r="L108" i="3" s="1"/>
  <c r="V107" i="3" l="1"/>
  <c r="Q107" i="3"/>
  <c r="R107" i="3" s="1"/>
  <c r="V108" i="3"/>
  <c r="Q108" i="3"/>
  <c r="R108" i="3" s="1"/>
  <c r="E109" i="3"/>
  <c r="K109" i="3" s="1"/>
  <c r="L109" i="3" s="1"/>
  <c r="J90" i="8" l="1"/>
  <c r="J89" i="8"/>
  <c r="W109" i="3"/>
  <c r="D91" i="8" s="1"/>
  <c r="F91" i="8" s="1"/>
  <c r="V109" i="3"/>
  <c r="Q109" i="3"/>
  <c r="R109" i="3" s="1"/>
  <c r="E110" i="3"/>
  <c r="K110" i="3" s="1"/>
  <c r="L110" i="3" s="1"/>
  <c r="W110" i="3" l="1"/>
  <c r="D92" i="8" s="1"/>
  <c r="F92" i="8" s="1"/>
  <c r="J91" i="8"/>
  <c r="V110" i="3"/>
  <c r="Q110" i="3"/>
  <c r="R110" i="3" s="1"/>
  <c r="E111" i="3"/>
  <c r="K111" i="3" s="1"/>
  <c r="L111" i="3" s="1"/>
  <c r="J92" i="8" l="1"/>
  <c r="W111" i="3"/>
  <c r="D93" i="8" s="1"/>
  <c r="F93" i="8" s="1"/>
  <c r="V111" i="3"/>
  <c r="Q111" i="3"/>
  <c r="R111" i="3" s="1"/>
  <c r="E112" i="3"/>
  <c r="K112" i="3" s="1"/>
  <c r="L112" i="3" s="1"/>
  <c r="W112" i="3" l="1"/>
  <c r="D94" i="8" s="1"/>
  <c r="F94" i="8" s="1"/>
  <c r="J93" i="8"/>
  <c r="V112" i="3"/>
  <c r="Q112" i="3"/>
  <c r="R112" i="3" s="1"/>
  <c r="E113" i="3"/>
  <c r="K113" i="3" s="1"/>
  <c r="L113" i="3" s="1"/>
  <c r="W113" i="3" l="1"/>
  <c r="D95" i="8" s="1"/>
  <c r="F95" i="8" s="1"/>
  <c r="J94" i="8"/>
  <c r="V113" i="3"/>
  <c r="W114" i="3" s="1"/>
  <c r="D96" i="8" s="1"/>
  <c r="F96" i="8" s="1"/>
  <c r="Q113" i="3"/>
  <c r="R113" i="3" s="1"/>
  <c r="E114" i="3"/>
  <c r="K114" i="3" s="1"/>
  <c r="L114" i="3" s="1"/>
  <c r="J95" i="8" l="1"/>
  <c r="W115" i="3"/>
  <c r="D97" i="8" s="1"/>
  <c r="F97" i="8" s="1"/>
  <c r="V114" i="3"/>
  <c r="Q114" i="3"/>
  <c r="R114" i="3" s="1"/>
  <c r="E115" i="3"/>
  <c r="K115" i="3" s="1"/>
  <c r="L115" i="3" s="1"/>
  <c r="J96" i="8" l="1"/>
  <c r="W116" i="3"/>
  <c r="D98" i="8" s="1"/>
  <c r="F98" i="8" s="1"/>
  <c r="V115" i="3"/>
  <c r="Q115" i="3"/>
  <c r="R115" i="3" s="1"/>
  <c r="E116" i="3"/>
  <c r="K116" i="3" s="1"/>
  <c r="L116" i="3" s="1"/>
  <c r="J97" i="8" l="1"/>
  <c r="W117" i="3"/>
  <c r="D99" i="8" s="1"/>
  <c r="F99" i="8" s="1"/>
  <c r="V116" i="3"/>
  <c r="Q116" i="3"/>
  <c r="R116" i="3" s="1"/>
  <c r="E117" i="3"/>
  <c r="K117" i="3" s="1"/>
  <c r="L117" i="3" s="1"/>
  <c r="W118" i="3" l="1"/>
  <c r="D100" i="8" s="1"/>
  <c r="F100" i="8" s="1"/>
  <c r="J98" i="8"/>
  <c r="V117" i="3"/>
  <c r="Q117" i="3"/>
  <c r="R117" i="3" s="1"/>
  <c r="E118" i="3"/>
  <c r="K118" i="3" s="1"/>
  <c r="L118" i="3" s="1"/>
  <c r="J99" i="8" l="1"/>
  <c r="V118" i="3"/>
  <c r="W119" i="3" s="1"/>
  <c r="D101" i="8" s="1"/>
  <c r="F101" i="8" s="1"/>
  <c r="Q118" i="3"/>
  <c r="R118" i="3" s="1"/>
  <c r="E119" i="3"/>
  <c r="K119" i="3" s="1"/>
  <c r="L119" i="3" s="1"/>
  <c r="J100" i="8" l="1"/>
  <c r="W120" i="3"/>
  <c r="D102" i="8" s="1"/>
  <c r="F102" i="8" s="1"/>
  <c r="V119" i="3"/>
  <c r="Q119" i="3"/>
  <c r="R119" i="3" s="1"/>
  <c r="E120" i="3"/>
  <c r="K120" i="3" s="1"/>
  <c r="L120" i="3" s="1"/>
  <c r="W121" i="3" l="1"/>
  <c r="D103" i="8" s="1"/>
  <c r="F103" i="8" s="1"/>
  <c r="J101" i="8"/>
  <c r="V120" i="3"/>
  <c r="Q120" i="3"/>
  <c r="R120" i="3" s="1"/>
  <c r="E121" i="3"/>
  <c r="K121" i="3" s="1"/>
  <c r="L121" i="3" s="1"/>
  <c r="J102" i="8" l="1"/>
  <c r="W122" i="3"/>
  <c r="D104" i="8" s="1"/>
  <c r="F104" i="8" s="1"/>
  <c r="V121" i="3"/>
  <c r="Q121" i="3"/>
  <c r="R121" i="3" s="1"/>
  <c r="E122" i="3"/>
  <c r="K122" i="3" s="1"/>
  <c r="L122" i="3" s="1"/>
  <c r="J103" i="8" l="1"/>
  <c r="W123" i="3"/>
  <c r="D105" i="8" s="1"/>
  <c r="F105" i="8" s="1"/>
  <c r="V122" i="3"/>
  <c r="Q122" i="3"/>
  <c r="R122" i="3" s="1"/>
  <c r="E123" i="3"/>
  <c r="K123" i="3" s="1"/>
  <c r="L123" i="3" s="1"/>
  <c r="J104" i="8" l="1"/>
  <c r="V123" i="3"/>
  <c r="W124" i="3" s="1"/>
  <c r="D106" i="8" s="1"/>
  <c r="F106" i="8" s="1"/>
  <c r="Q123" i="3"/>
  <c r="R123" i="3" s="1"/>
  <c r="E124" i="3"/>
  <c r="K124" i="3" s="1"/>
  <c r="L124" i="3" s="1"/>
  <c r="J105" i="8" l="1"/>
  <c r="W125" i="3"/>
  <c r="D107" i="8" s="1"/>
  <c r="F107" i="8" s="1"/>
  <c r="V124" i="3"/>
  <c r="Q124" i="3"/>
  <c r="R124" i="3" s="1"/>
  <c r="E125" i="3"/>
  <c r="K125" i="3" s="1"/>
  <c r="L125" i="3" s="1"/>
  <c r="J106" i="8" l="1"/>
  <c r="W126" i="3"/>
  <c r="D108" i="8" s="1"/>
  <c r="F108" i="8" s="1"/>
  <c r="V125" i="3"/>
  <c r="Q125" i="3"/>
  <c r="R125" i="3" s="1"/>
  <c r="E126" i="3"/>
  <c r="K126" i="3" s="1"/>
  <c r="L126" i="3" s="1"/>
  <c r="J107" i="8" l="1"/>
  <c r="W127" i="3"/>
  <c r="D109" i="8" s="1"/>
  <c r="F109" i="8" s="1"/>
  <c r="V126" i="3"/>
  <c r="Q126" i="3"/>
  <c r="R126" i="3" s="1"/>
  <c r="E127" i="3"/>
  <c r="K127" i="3" s="1"/>
  <c r="L127" i="3" s="1"/>
  <c r="J108" i="8" l="1"/>
  <c r="V127" i="3"/>
  <c r="Q127" i="3"/>
  <c r="R127" i="3" s="1"/>
  <c r="E128" i="3"/>
  <c r="K128" i="3" s="1"/>
  <c r="L128" i="3" s="1"/>
  <c r="J109" i="8" l="1"/>
  <c r="W128" i="3"/>
  <c r="D110" i="8" s="1"/>
  <c r="F110" i="8" s="1"/>
  <c r="V128" i="3"/>
  <c r="Q128" i="3"/>
  <c r="R128" i="3" s="1"/>
  <c r="E129" i="3"/>
  <c r="K129" i="3" s="1"/>
  <c r="L129" i="3" s="1"/>
  <c r="W129" i="3" l="1"/>
  <c r="D111" i="8" s="1"/>
  <c r="F111" i="8" s="1"/>
  <c r="J110" i="8"/>
  <c r="V129" i="3"/>
  <c r="Q129" i="3"/>
  <c r="R129" i="3" s="1"/>
  <c r="E130" i="3"/>
  <c r="K130" i="3" s="1"/>
  <c r="L130" i="3" s="1"/>
  <c r="W130" i="3" l="1"/>
  <c r="D112" i="8" s="1"/>
  <c r="F112" i="8" s="1"/>
  <c r="J111" i="8"/>
  <c r="V130" i="3"/>
  <c r="Q130" i="3"/>
  <c r="R130" i="3" s="1"/>
  <c r="E131" i="3"/>
  <c r="K131" i="3" s="1"/>
  <c r="L131" i="3" s="1"/>
  <c r="W131" i="3" l="1"/>
  <c r="D113" i="8" s="1"/>
  <c r="F113" i="8" s="1"/>
  <c r="J112" i="8"/>
  <c r="V131" i="3"/>
  <c r="Q131" i="3"/>
  <c r="R131" i="3" s="1"/>
  <c r="E132" i="3"/>
  <c r="K132" i="3" s="1"/>
  <c r="L132" i="3" s="1"/>
  <c r="W132" i="3" l="1"/>
  <c r="D114" i="8" s="1"/>
  <c r="F114" i="8" s="1"/>
  <c r="J113" i="8"/>
  <c r="J10" i="8"/>
  <c r="V27" i="3"/>
  <c r="W29" i="3" s="1"/>
  <c r="V30" i="3"/>
  <c r="V132" i="3"/>
  <c r="Q132" i="3"/>
  <c r="R132" i="3" s="1"/>
  <c r="E133" i="3"/>
  <c r="K133" i="3" s="1"/>
  <c r="L133" i="3" s="1"/>
  <c r="W30" i="3" l="1"/>
  <c r="D11" i="8"/>
  <c r="F11" i="8" s="1"/>
  <c r="J11" i="8" s="1"/>
  <c r="J9" i="8"/>
  <c r="J114" i="8"/>
  <c r="W133" i="3"/>
  <c r="D115" i="8" s="1"/>
  <c r="F115" i="8" s="1"/>
  <c r="J9" i="34"/>
  <c r="V35" i="3"/>
  <c r="W37" i="3" s="1"/>
  <c r="D19" i="8" s="1"/>
  <c r="F19" i="8" s="1"/>
  <c r="V31" i="3"/>
  <c r="W33" i="3" s="1"/>
  <c r="D15" i="8" s="1"/>
  <c r="F15" i="8" s="1"/>
  <c r="V133" i="3"/>
  <c r="Q133" i="3"/>
  <c r="R133" i="3" s="1"/>
  <c r="E134" i="3"/>
  <c r="K134" i="3" s="1"/>
  <c r="L134" i="3" s="1"/>
  <c r="D12" i="8" l="1"/>
  <c r="F12" i="8" s="1"/>
  <c r="J12" i="8" s="1"/>
  <c r="W31" i="3"/>
  <c r="D13" i="8" s="1"/>
  <c r="F13" i="8" s="1"/>
  <c r="W34" i="3"/>
  <c r="D16" i="8" s="1"/>
  <c r="F16" i="8" s="1"/>
  <c r="W36" i="3"/>
  <c r="W35" i="3"/>
  <c r="J115" i="8"/>
  <c r="W134" i="3"/>
  <c r="D116" i="8" s="1"/>
  <c r="F116" i="8" s="1"/>
  <c r="W38" i="3"/>
  <c r="D20" i="8" s="1"/>
  <c r="F20" i="8" s="1"/>
  <c r="D13" i="29"/>
  <c r="V134" i="3"/>
  <c r="Q134" i="3"/>
  <c r="R134" i="3" s="1"/>
  <c r="E135" i="3"/>
  <c r="K135" i="3" s="1"/>
  <c r="L135" i="3" s="1"/>
  <c r="D18" i="8" l="1"/>
  <c r="D17" i="8"/>
  <c r="C10" i="32"/>
  <c r="C13" i="32" s="1"/>
  <c r="W32" i="3"/>
  <c r="D14" i="8" s="1"/>
  <c r="F14" i="8" s="1"/>
  <c r="J13" i="8"/>
  <c r="D13" i="3"/>
  <c r="W135" i="3"/>
  <c r="D117" i="8" s="1"/>
  <c r="F117" i="8" s="1"/>
  <c r="J116" i="8"/>
  <c r="W39" i="3"/>
  <c r="D21" i="8" s="1"/>
  <c r="F21" i="8" s="1"/>
  <c r="V41" i="3"/>
  <c r="W42" i="3" s="1"/>
  <c r="D24" i="8" s="1"/>
  <c r="F24" i="8" s="1"/>
  <c r="J19" i="8"/>
  <c r="J16" i="8"/>
  <c r="J15" i="8"/>
  <c r="V135" i="3"/>
  <c r="Q135" i="3"/>
  <c r="R135" i="3" s="1"/>
  <c r="E136" i="3"/>
  <c r="K136" i="3" s="1"/>
  <c r="L136" i="3" s="1"/>
  <c r="F17" i="8" l="1"/>
  <c r="J17" i="8" s="1"/>
  <c r="F18" i="8"/>
  <c r="J18" i="8" s="1"/>
  <c r="J14" i="8"/>
  <c r="C22" i="32"/>
  <c r="C28" i="32" s="1"/>
  <c r="C10" i="4"/>
  <c r="C22" i="4" s="1"/>
  <c r="C14" i="32"/>
  <c r="W43" i="3"/>
  <c r="D25" i="8" s="1"/>
  <c r="F25" i="8" s="1"/>
  <c r="J24" i="8"/>
  <c r="W40" i="3"/>
  <c r="D22" i="8" s="1"/>
  <c r="F22" i="8" s="1"/>
  <c r="J21" i="8"/>
  <c r="W136" i="3"/>
  <c r="D118" i="8" s="1"/>
  <c r="F118" i="8" s="1"/>
  <c r="J117" i="8"/>
  <c r="J20" i="8"/>
  <c r="V136" i="3"/>
  <c r="Q136" i="3"/>
  <c r="R136" i="3" s="1"/>
  <c r="E137" i="3"/>
  <c r="K137" i="3" s="1"/>
  <c r="L137" i="3" s="1"/>
  <c r="C14" i="4" l="1"/>
  <c r="C13" i="4"/>
  <c r="C6" i="24" s="1"/>
  <c r="F9" i="24" s="1"/>
  <c r="C28" i="4"/>
  <c r="H9" i="24" s="1"/>
  <c r="G12" i="24"/>
  <c r="G9" i="24"/>
  <c r="W137" i="3"/>
  <c r="D119" i="8" s="1"/>
  <c r="F119" i="8" s="1"/>
  <c r="J118" i="8"/>
  <c r="W41" i="3"/>
  <c r="J22" i="8"/>
  <c r="J25" i="8"/>
  <c r="W44" i="3"/>
  <c r="D26" i="8" s="1"/>
  <c r="F26" i="8" s="1"/>
  <c r="J28" i="8"/>
  <c r="J29" i="8"/>
  <c r="V137" i="3"/>
  <c r="W138" i="3" s="1"/>
  <c r="D120" i="8" s="1"/>
  <c r="F120" i="8" s="1"/>
  <c r="Q137" i="3"/>
  <c r="R137" i="3" s="1"/>
  <c r="E138" i="3"/>
  <c r="K138" i="3" s="1"/>
  <c r="L138" i="3" s="1"/>
  <c r="D23" i="8" l="1"/>
  <c r="H12" i="24"/>
  <c r="J119" i="8"/>
  <c r="F12" i="24"/>
  <c r="W45" i="3"/>
  <c r="J26" i="8"/>
  <c r="W139" i="3"/>
  <c r="D121" i="8" s="1"/>
  <c r="F121" i="8" s="1"/>
  <c r="J31" i="8"/>
  <c r="J30" i="8"/>
  <c r="V138" i="3"/>
  <c r="Q138" i="3"/>
  <c r="R138" i="3" s="1"/>
  <c r="E139" i="3"/>
  <c r="K139" i="3" s="1"/>
  <c r="L139" i="3" s="1"/>
  <c r="F23" i="8" l="1"/>
  <c r="J23" i="8" s="1"/>
  <c r="D27" i="8"/>
  <c r="W140" i="3"/>
  <c r="D122" i="8" s="1"/>
  <c r="F122" i="8" s="1"/>
  <c r="J120" i="8"/>
  <c r="V139" i="3"/>
  <c r="Q139" i="3"/>
  <c r="R139" i="3" s="1"/>
  <c r="E140" i="3"/>
  <c r="K140" i="3" s="1"/>
  <c r="L140" i="3" s="1"/>
  <c r="F27" i="8" l="1"/>
  <c r="J27" i="8" s="1"/>
  <c r="J121" i="8"/>
  <c r="W141" i="3"/>
  <c r="D123" i="8" s="1"/>
  <c r="F123" i="8" s="1"/>
  <c r="V140" i="3"/>
  <c r="Q140" i="3"/>
  <c r="R140" i="3" s="1"/>
  <c r="E141" i="3"/>
  <c r="K141" i="3" s="1"/>
  <c r="L141" i="3" s="1"/>
  <c r="J122" i="8" l="1"/>
  <c r="W142" i="3"/>
  <c r="D124" i="8" s="1"/>
  <c r="F124" i="8" s="1"/>
  <c r="V141" i="3"/>
  <c r="Q141" i="3"/>
  <c r="R141" i="3" s="1"/>
  <c r="E142" i="3"/>
  <c r="K142" i="3" s="1"/>
  <c r="L142" i="3" s="1"/>
  <c r="J123" i="8" l="1"/>
  <c r="V142" i="3"/>
  <c r="Q142" i="3"/>
  <c r="R142" i="3" s="1"/>
  <c r="E143" i="3"/>
  <c r="K143" i="3" s="1"/>
  <c r="L143" i="3" s="1"/>
  <c r="J124" i="8" l="1"/>
  <c r="W143" i="3"/>
  <c r="D125" i="8" s="1"/>
  <c r="F125" i="8" s="1"/>
  <c r="V143" i="3"/>
  <c r="Q143" i="3"/>
  <c r="R143" i="3" s="1"/>
  <c r="E144" i="3"/>
  <c r="K144" i="3" s="1"/>
  <c r="L144" i="3" s="1"/>
  <c r="W144" i="3" l="1"/>
  <c r="D126" i="8" s="1"/>
  <c r="F126" i="8" s="1"/>
  <c r="J125" i="8"/>
  <c r="V144" i="3"/>
  <c r="Q144" i="3"/>
  <c r="R144" i="3" s="1"/>
  <c r="E145" i="3"/>
  <c r="K145" i="3" s="1"/>
  <c r="L145" i="3" s="1"/>
  <c r="W145" i="3" l="1"/>
  <c r="D127" i="8" s="1"/>
  <c r="F127" i="8" s="1"/>
  <c r="J126" i="8"/>
  <c r="V145" i="3"/>
  <c r="Q145" i="3"/>
  <c r="R145" i="3" s="1"/>
  <c r="E146" i="3"/>
  <c r="K146" i="3" s="1"/>
  <c r="L146" i="3" s="1"/>
  <c r="W146" i="3" l="1"/>
  <c r="D128" i="8" s="1"/>
  <c r="F128" i="8" s="1"/>
  <c r="J127" i="8"/>
  <c r="V146" i="3"/>
  <c r="Q146" i="3"/>
  <c r="R146" i="3" s="1"/>
  <c r="E147" i="3"/>
  <c r="K147" i="3" s="1"/>
  <c r="L147" i="3" s="1"/>
  <c r="W147" i="3" l="1"/>
  <c r="D129" i="8" s="1"/>
  <c r="F129" i="8" s="1"/>
  <c r="J128" i="8"/>
  <c r="V147" i="3"/>
  <c r="Q147" i="3"/>
  <c r="R147" i="3" s="1"/>
  <c r="J12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tc={86C25EA2-714F-484E-A70B-2CB77284E162}</author>
  </authors>
  <commentList>
    <comment ref="AN13" authorId="0" shapeId="0" xr:uid="{86C25EA2-714F-484E-A70B-2CB77284E162}">
      <text>
        <t>[Threaded comment]
Your version of Excel allows you to read this threaded comment; however, any edits to it will get removed if the file is opened in a newer version of Excel. Learn more: https://go.microsoft.com/fwlink/?linkid=870924
Comment:
    There 131 Week Days in Summer 22. To calculate Trading Days we should deduct bank holidays.
England Bank Holidays:
15/4/22, 18/4/22, 2/5/22, 2/6/22, 3/6/22, 29/8/22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tc={9FC8339D-6008-4BE1-8F36-99C3F78CDD78}</author>
  </authors>
  <commentList>
    <comment ref="AN13" authorId="0" shapeId="0" xr:uid="{9FC8339D-6008-4BE1-8F36-99C3F78CDD78}">
      <text>
        <t>[Threaded comment]
Your version of Excel allows you to read this threaded comment; however, any edits to it will get removed if the file is opened in a newer version of Excel. Learn more: https://go.microsoft.com/fwlink/?linkid=870924
Comment:
    There 131 Week Days in Summer 22. To calculate Trading Days we should deduct bank holidays.
England Bank Holidays:
15/4/22, 18/4/22, 2/5/22, 2/6/22, 3/6/22, 29/8/22</t>
      </text>
    </comment>
  </commentList>
</comments>
</file>

<file path=xl/sharedStrings.xml><?xml version="1.0" encoding="utf-8"?>
<sst xmlns="http://schemas.openxmlformats.org/spreadsheetml/2006/main" count="741" uniqueCount="177">
  <si>
    <r>
      <rPr>
        <b/>
        <sz val="11"/>
        <color theme="1"/>
        <rFont val="Calibri"/>
        <family val="2"/>
        <scheme val="minor"/>
      </rPr>
      <t>Market Stabilisation Charge worked example v2 (published 16 May 2022)</t>
    </r>
    <r>
      <rPr>
        <sz val="11"/>
        <color theme="1"/>
        <rFont val="Calibri"/>
        <family val="2"/>
        <scheme val="minor"/>
      </rPr>
      <t xml:space="preserve">
This is an indicative model, provided for illustrative purposes, which demonstrates how the equations stated in the Market Stabilisation Charge guidance may be used to calculate the charge for electricity and gas. V2 of the worked example model reflects the changes which have been made as part of our Decision on Changes to the Market Stabilisation Charge (published 16 May 2022), with a) updated parameters, b) updated price cap indexation, and c) changes to how losses and UIG are accounted for. 
Users should select parameters in the 'Elec Calculations' and 'Gas Calculations' tabs to find the Market Stabilisation Charge on a given day for electricity and gas respectively, as well as the values of each part of the MSC equation. By inputting price cap indices and wholesale costs into 'Elec Wpc' and 'Elec Wc' tabs for electricity, and 'Gas Wpc' and 'Gas Wc' tabs for gas, Wpc and Wc charts are created to show the trigger point and wholesale cost used to calculate the MSC over the course of a season for electricity and gas. The "Elec Mkt Stabilisation Charge" and "Gas Mkt Stabilisation Charge" tabs plot the Wholesale Cost, Trigger Point and resultant Market Stabilisation Charge that the equations derive from the input wholesale costs and price cap indices for electricity and gas respectively.
The wholesale prices used in Wc are purely for illustrative purposes and are </t>
    </r>
    <r>
      <rPr>
        <u/>
        <sz val="11"/>
        <color theme="1"/>
        <rFont val="Calibri"/>
        <family val="2"/>
        <scheme val="minor"/>
      </rPr>
      <t>not a forecast, or Ofgem expectation of future wholesale prices</t>
    </r>
    <r>
      <rPr>
        <sz val="11"/>
        <color theme="1"/>
        <rFont val="Calibri"/>
        <family val="2"/>
        <scheme val="minor"/>
      </rPr>
      <t xml:space="preserve">. These prices are used to drive the equations in tabs Wpc and Wc to produce the adjacent charts. Users may input their own wholesale price predictions to estimate future MSC values.
Similarly, the values used for the price cap indices are purely for illustrative purposes and are </t>
    </r>
    <r>
      <rPr>
        <u/>
        <sz val="11"/>
        <color theme="1"/>
        <rFont val="Calibri"/>
        <family val="2"/>
        <scheme val="minor"/>
      </rPr>
      <t>not a forecast of Ofgem expectation of future price cap levels.</t>
    </r>
    <r>
      <rPr>
        <sz val="11"/>
        <color theme="1"/>
        <rFont val="Calibri"/>
        <family val="2"/>
        <scheme val="minor"/>
      </rPr>
      <t xml:space="preserve">
Users should remember that this tool makes a number of assumptions and simplifications so </t>
    </r>
    <r>
      <rPr>
        <u/>
        <sz val="11"/>
        <color theme="1"/>
        <rFont val="Calibri"/>
        <family val="2"/>
        <scheme val="minor"/>
      </rPr>
      <t>should not be relied upon for definitive MSC values.</t>
    </r>
  </si>
  <si>
    <t>Has the Market Stabilisation Charge been triggered?</t>
  </si>
  <si>
    <t>If it was triggered, what is the rate?</t>
  </si>
  <si>
    <t>Publication Date</t>
  </si>
  <si>
    <t>Effective From Date</t>
  </si>
  <si>
    <t>Effective To Date</t>
  </si>
  <si>
    <t>Has MSC Process been Triggered?</t>
  </si>
  <si>
    <t>Gas MSC (£/MWh)</t>
  </si>
  <si>
    <t>Elec MSC (£/MWh)</t>
  </si>
  <si>
    <t>Not to be published</t>
  </si>
  <si>
    <t>Historic data</t>
  </si>
  <si>
    <t>No</t>
  </si>
  <si>
    <r>
      <t>This chart plots the price cap index &amp; trigger point over the season based on the cost data input into sheets Wpc and Wc, and the resultant Market Stabilisation Charge. Where the Wholesale cost falls below the Trigger point, the MSC is triggered. The gap between the wholesale cost and the trigger point represents the incremental loss used to calculate the MSC in the 'Elec Calculations' tab.
This is an indicative model, provided for illustrative purposes, which demonstrates how the equations stated in the Market Stabilisation Charge guidance may be used to calculate the charge for electricity.
The wholesale prices used in Wc are purely for illustrative purposes and are</t>
    </r>
    <r>
      <rPr>
        <u/>
        <sz val="11"/>
        <color theme="1"/>
        <rFont val="Calibri"/>
        <family val="2"/>
        <scheme val="minor"/>
      </rPr>
      <t xml:space="preserve"> not a forecast, or Ofgem expectation of future wholesale prices</t>
    </r>
    <r>
      <rPr>
        <sz val="11"/>
        <color theme="1"/>
        <rFont val="Calibri"/>
        <family val="2"/>
        <scheme val="minor"/>
      </rPr>
      <t xml:space="preserve">. These prices are used to drive the equations in tabs Wpc and Wc to produce the adjacent charts. Users may input their own wholesale price predictions to estimate future MSC values.
Similarly, the values used for the price cap indices are purely for illustrative purposes and are </t>
    </r>
    <r>
      <rPr>
        <u/>
        <sz val="11"/>
        <color theme="1"/>
        <rFont val="Calibri"/>
        <family val="2"/>
        <scheme val="minor"/>
      </rPr>
      <t>not a forecast of Ofgem expectation of future price cap levels.</t>
    </r>
    <r>
      <rPr>
        <sz val="11"/>
        <color theme="1"/>
        <rFont val="Calibri"/>
        <family val="2"/>
        <scheme val="minor"/>
      </rPr>
      <t xml:space="preserve">
Users should remember that this tool makes a number of assumptions and simplifications so </t>
    </r>
    <r>
      <rPr>
        <u/>
        <sz val="11"/>
        <color theme="1"/>
        <rFont val="Calibri"/>
        <family val="2"/>
        <scheme val="minor"/>
      </rPr>
      <t>should not be relied upon for definitive MSC values.</t>
    </r>
    <r>
      <rPr>
        <sz val="11"/>
        <color theme="1"/>
        <rFont val="Calibri"/>
        <family val="2"/>
        <scheme val="minor"/>
      </rPr>
      <t xml:space="preserve">
</t>
    </r>
  </si>
  <si>
    <t>Day</t>
  </si>
  <si>
    <t>Date</t>
  </si>
  <si>
    <r>
      <t>W</t>
    </r>
    <r>
      <rPr>
        <vertAlign val="subscript"/>
        <sz val="11"/>
        <color theme="1"/>
        <rFont val="Calibri"/>
        <family val="2"/>
        <scheme val="minor"/>
      </rPr>
      <t>c</t>
    </r>
    <r>
      <rPr>
        <sz val="11"/>
        <color theme="1"/>
        <rFont val="Calibri"/>
        <family val="2"/>
        <scheme val="minor"/>
      </rPr>
      <t xml:space="preserve"> (including elec losses)</t>
    </r>
  </si>
  <si>
    <r>
      <t>W</t>
    </r>
    <r>
      <rPr>
        <vertAlign val="subscript"/>
        <sz val="11"/>
        <rFont val="Calibri"/>
        <family val="2"/>
        <scheme val="minor"/>
      </rPr>
      <t>t</t>
    </r>
    <r>
      <rPr>
        <sz val="11"/>
        <rFont val="Calibri"/>
        <family val="2"/>
        <scheme val="minor"/>
      </rPr>
      <t xml:space="preserve"> (including elec losses)</t>
    </r>
  </si>
  <si>
    <t>l</t>
  </si>
  <si>
    <t>x</t>
  </si>
  <si>
    <t>t</t>
  </si>
  <si>
    <t>c</t>
  </si>
  <si>
    <t>MSC (£/MWh)</t>
  </si>
  <si>
    <t>Fri</t>
  </si>
  <si>
    <t>NA</t>
  </si>
  <si>
    <t>Mon</t>
  </si>
  <si>
    <t>Tue</t>
  </si>
  <si>
    <t>Wed</t>
  </si>
  <si>
    <t>Thu</t>
  </si>
  <si>
    <t>Market Stabilisation Charge (A)</t>
  </si>
  <si>
    <t>Input/dummy price data</t>
  </si>
  <si>
    <t>Input variables</t>
  </si>
  <si>
    <t>Trading Day</t>
  </si>
  <si>
    <t>Output price/charge data</t>
  </si>
  <si>
    <t>Fuel</t>
  </si>
  <si>
    <t>Electric</t>
  </si>
  <si>
    <t>Output variables</t>
  </si>
  <si>
    <t>Parameter</t>
  </si>
  <si>
    <t>Value</t>
  </si>
  <si>
    <t>Unit</t>
  </si>
  <si>
    <t>Wt (including elec losses)</t>
  </si>
  <si>
    <t>Wc (including elec losses)</t>
  </si>
  <si>
    <t>Wpc (Including elec losses)</t>
  </si>
  <si>
    <r>
      <t>Does Wc &gt;</t>
    </r>
    <r>
      <rPr>
        <b/>
        <sz val="11"/>
        <color theme="1"/>
        <rFont val="Calibri"/>
        <family val="2"/>
      </rPr>
      <t xml:space="preserve"> Wt</t>
    </r>
    <r>
      <rPr>
        <b/>
        <sz val="11"/>
        <color theme="1"/>
        <rFont val="Calibri"/>
        <family val="2"/>
        <scheme val="minor"/>
      </rPr>
      <t>?</t>
    </r>
  </si>
  <si>
    <r>
      <t xml:space="preserve">Does Wc </t>
    </r>
    <r>
      <rPr>
        <b/>
        <sz val="11"/>
        <color theme="1"/>
        <rFont val="Calibri"/>
        <family val="2"/>
      </rPr>
      <t>≤ Wt</t>
    </r>
    <r>
      <rPr>
        <b/>
        <sz val="11"/>
        <color theme="1"/>
        <rFont val="Calibri"/>
        <family val="2"/>
        <scheme val="minor"/>
      </rPr>
      <t>?</t>
    </r>
  </si>
  <si>
    <t>v (volume factor) = (a + b + c)</t>
  </si>
  <si>
    <t>Electricity Losses</t>
  </si>
  <si>
    <t xml:space="preserve">Electricity </t>
  </si>
  <si>
    <t>x (derating factor)</t>
  </si>
  <si>
    <t>%</t>
  </si>
  <si>
    <t>l (qualifying losses)</t>
  </si>
  <si>
    <t>t (consumption weighting factor)</t>
  </si>
  <si>
    <t>c (conversion factor)</t>
  </si>
  <si>
    <t>Unitless</t>
  </si>
  <si>
    <t>LSLT</t>
  </si>
  <si>
    <t>MSC (A) = x*l*t*c</t>
  </si>
  <si>
    <t>£/MWh</t>
  </si>
  <si>
    <t>TDCV</t>
  </si>
  <si>
    <t>Fuel types</t>
  </si>
  <si>
    <t>Gas</t>
  </si>
  <si>
    <t>Monthly Demand</t>
  </si>
  <si>
    <t>Month (n)</t>
  </si>
  <si>
    <t>Elec</t>
  </si>
  <si>
    <t>Elec (n + 7)</t>
  </si>
  <si>
    <t>Gas (n + 7)</t>
  </si>
  <si>
    <t>Avg</t>
  </si>
  <si>
    <t>Jan</t>
  </si>
  <si>
    <t>Feb</t>
  </si>
  <si>
    <t>Mar</t>
  </si>
  <si>
    <t>Apr</t>
  </si>
  <si>
    <t>May</t>
  </si>
  <si>
    <t>Jun</t>
  </si>
  <si>
    <t>Jul</t>
  </si>
  <si>
    <t>Aug</t>
  </si>
  <si>
    <t>Sep</t>
  </si>
  <si>
    <t>Oct</t>
  </si>
  <si>
    <t>Nov</t>
  </si>
  <si>
    <t>Dec</t>
  </si>
  <si>
    <t>Wholesale element of price cap (Wpc)</t>
  </si>
  <si>
    <t>Units</t>
  </si>
  <si>
    <t>Observation window start date</t>
  </si>
  <si>
    <t>Observation window end date</t>
  </si>
  <si>
    <t>Observation window days</t>
  </si>
  <si>
    <t>Lag start date</t>
  </si>
  <si>
    <t>Lag end date</t>
  </si>
  <si>
    <t>Cap start date</t>
  </si>
  <si>
    <t>Cap end date</t>
  </si>
  <si>
    <t>Forward view start date</t>
  </si>
  <si>
    <t>Forward view end date</t>
  </si>
  <si>
    <t>Season end date</t>
  </si>
  <si>
    <t>Seaon days</t>
  </si>
  <si>
    <r>
      <t>PC</t>
    </r>
    <r>
      <rPr>
        <vertAlign val="subscript"/>
        <sz val="11"/>
        <color theme="1"/>
        <rFont val="Calibri"/>
        <family val="2"/>
        <scheme val="minor"/>
      </rPr>
      <t>n</t>
    </r>
  </si>
  <si>
    <t>Dummy Value</t>
  </si>
  <si>
    <t>Winter 19</t>
  </si>
  <si>
    <t>Price Cap 1</t>
  </si>
  <si>
    <r>
      <t>PC</t>
    </r>
    <r>
      <rPr>
        <vertAlign val="subscript"/>
        <sz val="11"/>
        <color theme="1"/>
        <rFont val="Calibri"/>
        <family val="2"/>
        <scheme val="minor"/>
      </rPr>
      <t>n+1</t>
    </r>
  </si>
  <si>
    <t>Summer 19</t>
  </si>
  <si>
    <t>Price Cap 2</t>
  </si>
  <si>
    <r>
      <t>PC</t>
    </r>
    <r>
      <rPr>
        <vertAlign val="subscript"/>
        <sz val="11"/>
        <color theme="1"/>
        <rFont val="Calibri"/>
        <family val="2"/>
        <scheme val="minor"/>
      </rPr>
      <t>n+2</t>
    </r>
  </si>
  <si>
    <t>Winter 20</t>
  </si>
  <si>
    <t>Price Cap 3</t>
  </si>
  <si>
    <r>
      <t>S</t>
    </r>
    <r>
      <rPr>
        <vertAlign val="subscript"/>
        <sz val="11"/>
        <color theme="1"/>
        <rFont val="Calibri"/>
        <family val="2"/>
        <scheme val="minor"/>
      </rPr>
      <t>n</t>
    </r>
  </si>
  <si>
    <t>Summer</t>
  </si>
  <si>
    <t>Summer 20</t>
  </si>
  <si>
    <t>Price Cap 4</t>
  </si>
  <si>
    <r>
      <t>S</t>
    </r>
    <r>
      <rPr>
        <vertAlign val="subscript"/>
        <sz val="11"/>
        <color theme="1"/>
        <rFont val="Calibri"/>
        <family val="2"/>
        <scheme val="minor"/>
      </rPr>
      <t>n+1</t>
    </r>
  </si>
  <si>
    <t>Winter</t>
  </si>
  <si>
    <t>Winter 21</t>
  </si>
  <si>
    <t>Price Cap 5</t>
  </si>
  <si>
    <t>Wpc</t>
  </si>
  <si>
    <t>named cell as Wpc</t>
  </si>
  <si>
    <t>Summer 21</t>
  </si>
  <si>
    <t>Price Cap 6</t>
  </si>
  <si>
    <t>Wt</t>
  </si>
  <si>
    <t>named cell as Wt</t>
  </si>
  <si>
    <t>Winter 22</t>
  </si>
  <si>
    <t>Price Cap 7</t>
  </si>
  <si>
    <t>Summer 22</t>
  </si>
  <si>
    <t>Price Cap 8</t>
  </si>
  <si>
    <t>Winter 23</t>
  </si>
  <si>
    <t>Price Cap 9</t>
  </si>
  <si>
    <t>Summer 23</t>
  </si>
  <si>
    <t>Price Cap 10</t>
  </si>
  <si>
    <t>Electricity</t>
  </si>
  <si>
    <t>Delivery days of season n+1 held on 1st day of season n</t>
  </si>
  <si>
    <t>Total number of delivery days in conventional 8 month hedge</t>
  </si>
  <si>
    <t>Count</t>
  </si>
  <si>
    <r>
      <t>D</t>
    </r>
    <r>
      <rPr>
        <vertAlign val="subscript"/>
        <sz val="11"/>
        <color theme="1"/>
        <rFont val="Calibri"/>
        <family val="2"/>
        <scheme val="minor"/>
      </rPr>
      <t>rem</t>
    </r>
  </si>
  <si>
    <r>
      <t>D</t>
    </r>
    <r>
      <rPr>
        <vertAlign val="subscript"/>
        <sz val="11"/>
        <color theme="1"/>
        <rFont val="Calibri"/>
        <family val="2"/>
        <scheme val="minor"/>
      </rPr>
      <t>h</t>
    </r>
  </si>
  <si>
    <r>
      <t>D</t>
    </r>
    <r>
      <rPr>
        <vertAlign val="subscript"/>
        <sz val="11"/>
        <color theme="1"/>
        <rFont val="Calibri"/>
        <family val="2"/>
        <scheme val="minor"/>
      </rPr>
      <t>n</t>
    </r>
  </si>
  <si>
    <r>
      <t>D</t>
    </r>
    <r>
      <rPr>
        <vertAlign val="subscript"/>
        <sz val="11"/>
        <color theme="1"/>
        <rFont val="Calibri"/>
        <family val="2"/>
        <scheme val="minor"/>
      </rPr>
      <t>d1</t>
    </r>
  </si>
  <si>
    <r>
      <t>D</t>
    </r>
    <r>
      <rPr>
        <vertAlign val="subscript"/>
        <sz val="11"/>
        <color theme="1"/>
        <rFont val="Calibri"/>
        <family val="2"/>
        <scheme val="minor"/>
      </rPr>
      <t>d50</t>
    </r>
  </si>
  <si>
    <r>
      <t>D</t>
    </r>
    <r>
      <rPr>
        <vertAlign val="subscript"/>
        <sz val="11"/>
        <color theme="1"/>
        <rFont val="Calibri"/>
        <family val="2"/>
        <scheme val="minor"/>
      </rPr>
      <t>d154</t>
    </r>
  </si>
  <si>
    <t>a</t>
  </si>
  <si>
    <r>
      <t>aS</t>
    </r>
    <r>
      <rPr>
        <vertAlign val="subscript"/>
        <sz val="11"/>
        <color theme="1"/>
        <rFont val="Calibri"/>
        <family val="2"/>
        <scheme val="minor"/>
      </rPr>
      <t>n</t>
    </r>
  </si>
  <si>
    <t>b</t>
  </si>
  <si>
    <r>
      <t>bS</t>
    </r>
    <r>
      <rPr>
        <vertAlign val="subscript"/>
        <sz val="11"/>
        <color theme="1"/>
        <rFont val="Calibri"/>
        <family val="2"/>
        <scheme val="minor"/>
      </rPr>
      <t>n+1</t>
    </r>
  </si>
  <si>
    <r>
      <t>cS</t>
    </r>
    <r>
      <rPr>
        <vertAlign val="subscript"/>
        <sz val="11"/>
        <color theme="1"/>
        <rFont val="Calibri"/>
        <family val="2"/>
        <scheme val="minor"/>
      </rPr>
      <t>n</t>
    </r>
  </si>
  <si>
    <r>
      <t>(aS</t>
    </r>
    <r>
      <rPr>
        <vertAlign val="subscript"/>
        <sz val="11"/>
        <color theme="1"/>
        <rFont val="Calibri"/>
        <family val="2"/>
        <scheme val="minor"/>
      </rPr>
      <t>n</t>
    </r>
    <r>
      <rPr>
        <sz val="11"/>
        <color theme="1"/>
        <rFont val="Calibri"/>
        <family val="2"/>
        <scheme val="minor"/>
      </rPr>
      <t>+bS</t>
    </r>
    <r>
      <rPr>
        <vertAlign val="subscript"/>
        <sz val="11"/>
        <color theme="1"/>
        <rFont val="Calibri"/>
        <family val="2"/>
        <scheme val="minor"/>
      </rPr>
      <t>n+1</t>
    </r>
    <r>
      <rPr>
        <sz val="11"/>
        <color theme="1"/>
        <rFont val="Calibri"/>
        <family val="2"/>
        <scheme val="minor"/>
      </rPr>
      <t>+cS</t>
    </r>
    <r>
      <rPr>
        <vertAlign val="subscript"/>
        <sz val="11"/>
        <color theme="1"/>
        <rFont val="Calibri"/>
        <family val="2"/>
        <scheme val="minor"/>
      </rPr>
      <t>n</t>
    </r>
    <r>
      <rPr>
        <sz val="11"/>
        <color theme="1"/>
        <rFont val="Calibri"/>
        <family val="2"/>
        <scheme val="minor"/>
      </rPr>
      <t>)</t>
    </r>
    <r>
      <rPr>
        <vertAlign val="superscript"/>
        <sz val="11"/>
        <color theme="1"/>
        <rFont val="Calibri"/>
        <family val="2"/>
        <scheme val="minor"/>
      </rPr>
      <t>-1</t>
    </r>
  </si>
  <si>
    <t>Check</t>
  </si>
  <si>
    <r>
      <t>W</t>
    </r>
    <r>
      <rPr>
        <vertAlign val="subscript"/>
        <sz val="11"/>
        <color theme="1"/>
        <rFont val="Calibri"/>
        <family val="2"/>
        <scheme val="minor"/>
      </rPr>
      <t>pc</t>
    </r>
  </si>
  <si>
    <r>
      <t>W</t>
    </r>
    <r>
      <rPr>
        <vertAlign val="subscript"/>
        <sz val="11"/>
        <rFont val="Calibri"/>
        <family val="2"/>
        <scheme val="minor"/>
      </rPr>
      <t>t</t>
    </r>
  </si>
  <si>
    <r>
      <t>W</t>
    </r>
    <r>
      <rPr>
        <vertAlign val="subscript"/>
        <sz val="11"/>
        <color theme="1"/>
        <rFont val="Calibri"/>
        <family val="2"/>
        <scheme val="minor"/>
      </rPr>
      <t>pc</t>
    </r>
    <r>
      <rPr>
        <sz val="11"/>
        <color theme="1"/>
        <rFont val="Calibri"/>
        <family val="2"/>
        <scheme val="minor"/>
      </rPr>
      <t xml:space="preserve"> Published</t>
    </r>
  </si>
  <si>
    <r>
      <t>W</t>
    </r>
    <r>
      <rPr>
        <vertAlign val="subscript"/>
        <sz val="11"/>
        <rFont val="Calibri"/>
        <family val="2"/>
        <scheme val="minor"/>
      </rPr>
      <t>t</t>
    </r>
    <r>
      <rPr>
        <sz val="11"/>
        <rFont val="Calibri"/>
        <family val="2"/>
        <scheme val="minor"/>
      </rPr>
      <t xml:space="preserve"> Published</t>
    </r>
  </si>
  <si>
    <t>v = (a + b + c)</t>
  </si>
  <si>
    <t>Wholesale cost (Wc)</t>
  </si>
  <si>
    <t>Trading days</t>
  </si>
  <si>
    <t>Bank holidays</t>
  </si>
  <si>
    <t>a'</t>
  </si>
  <si>
    <t>b'</t>
  </si>
  <si>
    <t>c'</t>
  </si>
  <si>
    <t>Wc</t>
  </si>
  <si>
    <t>named cell as Wc</t>
  </si>
  <si>
    <t>Trading days of season n+1 held on 1st day of season n</t>
  </si>
  <si>
    <t>Total number of trading days in conventional 8 month hedge</t>
  </si>
  <si>
    <r>
      <t>T</t>
    </r>
    <r>
      <rPr>
        <vertAlign val="subscript"/>
        <sz val="11"/>
        <color theme="1"/>
        <rFont val="Calibri"/>
        <family val="2"/>
        <scheme val="minor"/>
      </rPr>
      <t>rem</t>
    </r>
  </si>
  <si>
    <r>
      <t>T</t>
    </r>
    <r>
      <rPr>
        <vertAlign val="subscript"/>
        <sz val="11"/>
        <color theme="1"/>
        <rFont val="Calibri"/>
        <family val="2"/>
        <scheme val="minor"/>
      </rPr>
      <t>h</t>
    </r>
  </si>
  <si>
    <r>
      <t>T</t>
    </r>
    <r>
      <rPr>
        <vertAlign val="subscript"/>
        <sz val="11"/>
        <color theme="1"/>
        <rFont val="Calibri"/>
        <family val="2"/>
        <scheme val="minor"/>
      </rPr>
      <t>n</t>
    </r>
  </si>
  <si>
    <r>
      <t>T</t>
    </r>
    <r>
      <rPr>
        <vertAlign val="subscript"/>
        <sz val="11"/>
        <color theme="1"/>
        <rFont val="Calibri"/>
        <family val="2"/>
        <scheme val="minor"/>
      </rPr>
      <t>t1</t>
    </r>
  </si>
  <si>
    <r>
      <t>T</t>
    </r>
    <r>
      <rPr>
        <vertAlign val="subscript"/>
        <sz val="11"/>
        <color theme="1"/>
        <rFont val="Calibri"/>
        <family val="2"/>
        <scheme val="minor"/>
      </rPr>
      <t>t33</t>
    </r>
  </si>
  <si>
    <r>
      <t>T</t>
    </r>
    <r>
      <rPr>
        <vertAlign val="subscript"/>
        <sz val="11"/>
        <color theme="1"/>
        <rFont val="Calibri"/>
        <family val="2"/>
        <scheme val="minor"/>
      </rPr>
      <t>t104</t>
    </r>
  </si>
  <si>
    <r>
      <t>a'S</t>
    </r>
    <r>
      <rPr>
        <vertAlign val="subscript"/>
        <sz val="11"/>
        <color theme="1"/>
        <rFont val="Calibri"/>
        <family val="2"/>
        <scheme val="minor"/>
      </rPr>
      <t>n</t>
    </r>
  </si>
  <si>
    <r>
      <t>b'S</t>
    </r>
    <r>
      <rPr>
        <vertAlign val="subscript"/>
        <sz val="11"/>
        <color theme="1"/>
        <rFont val="Calibri"/>
        <family val="2"/>
        <scheme val="minor"/>
      </rPr>
      <t>n+1</t>
    </r>
  </si>
  <si>
    <r>
      <t>c'S</t>
    </r>
    <r>
      <rPr>
        <vertAlign val="subscript"/>
        <sz val="11"/>
        <color theme="1"/>
        <rFont val="Calibri"/>
        <family val="2"/>
        <scheme val="minor"/>
      </rPr>
      <t>n</t>
    </r>
  </si>
  <si>
    <r>
      <t>(a'S</t>
    </r>
    <r>
      <rPr>
        <vertAlign val="subscript"/>
        <sz val="11"/>
        <color theme="1"/>
        <rFont val="Calibri"/>
        <family val="2"/>
        <scheme val="minor"/>
      </rPr>
      <t>n</t>
    </r>
    <r>
      <rPr>
        <sz val="11"/>
        <color theme="1"/>
        <rFont val="Calibri"/>
        <family val="2"/>
        <scheme val="minor"/>
      </rPr>
      <t>+b'S</t>
    </r>
    <r>
      <rPr>
        <vertAlign val="subscript"/>
        <sz val="11"/>
        <color theme="1"/>
        <rFont val="Calibri"/>
        <family val="2"/>
        <scheme val="minor"/>
      </rPr>
      <t>n+1</t>
    </r>
    <r>
      <rPr>
        <sz val="11"/>
        <color theme="1"/>
        <rFont val="Calibri"/>
        <family val="2"/>
        <scheme val="minor"/>
      </rPr>
      <t>+c'S</t>
    </r>
    <r>
      <rPr>
        <vertAlign val="subscript"/>
        <sz val="11"/>
        <color theme="1"/>
        <rFont val="Calibri"/>
        <family val="2"/>
        <scheme val="minor"/>
      </rPr>
      <t>n</t>
    </r>
    <r>
      <rPr>
        <sz val="11"/>
        <color theme="1"/>
        <rFont val="Calibri"/>
        <family val="2"/>
        <scheme val="minor"/>
      </rPr>
      <t>)</t>
    </r>
    <r>
      <rPr>
        <vertAlign val="superscript"/>
        <sz val="11"/>
        <color theme="1"/>
        <rFont val="Calibri"/>
        <family val="2"/>
        <scheme val="minor"/>
      </rPr>
      <t>-1</t>
    </r>
  </si>
  <si>
    <r>
      <t>W</t>
    </r>
    <r>
      <rPr>
        <vertAlign val="subscript"/>
        <sz val="11"/>
        <color theme="1"/>
        <rFont val="Calibri"/>
        <family val="2"/>
        <scheme val="minor"/>
      </rPr>
      <t>n</t>
    </r>
  </si>
  <si>
    <r>
      <t>W</t>
    </r>
    <r>
      <rPr>
        <vertAlign val="subscript"/>
        <sz val="11"/>
        <color theme="1"/>
        <rFont val="Calibri"/>
        <family val="2"/>
        <scheme val="minor"/>
      </rPr>
      <t>n+1</t>
    </r>
  </si>
  <si>
    <r>
      <t>W</t>
    </r>
    <r>
      <rPr>
        <vertAlign val="subscript"/>
        <sz val="11"/>
        <color theme="1"/>
        <rFont val="Calibri"/>
        <family val="2"/>
        <scheme val="minor"/>
      </rPr>
      <t>n+2</t>
    </r>
  </si>
  <si>
    <r>
      <t>W</t>
    </r>
    <r>
      <rPr>
        <vertAlign val="subscript"/>
        <sz val="11"/>
        <color theme="1"/>
        <rFont val="Calibri"/>
        <family val="2"/>
        <scheme val="minor"/>
      </rPr>
      <t>c</t>
    </r>
  </si>
  <si>
    <r>
      <t>W</t>
    </r>
    <r>
      <rPr>
        <vertAlign val="subscript"/>
        <sz val="11"/>
        <color theme="1"/>
        <rFont val="Calibri"/>
        <family val="2"/>
        <scheme val="minor"/>
      </rPr>
      <t>c</t>
    </r>
    <r>
      <rPr>
        <sz val="11"/>
        <color theme="1"/>
        <rFont val="Calibri"/>
        <family val="2"/>
        <scheme val="minor"/>
      </rPr>
      <t xml:space="preserve"> published</t>
    </r>
  </si>
  <si>
    <r>
      <t>This chart plots the price cap index &amp; trigger point over the season based on the cost data input into sheets Wpc and Wc, and the resultant Market Stabilisation Charge. Where the Wholesale cost falls below the Trigger point, the MSC is triggered. The gap between the wholesale cost and the trigger point represents the incremental loss used to calculate the MSC in the 'Gas Calculations' tab.
This is an indicative model, provided for illustrative purposes, which demonstrates how the equations stated in the Market Stabilisation Charge guidance may be used to calculate the charge for gas.
The wholesale prices used in Wc are purely for illustrative purposes and are</t>
    </r>
    <r>
      <rPr>
        <u/>
        <sz val="11"/>
        <color theme="1"/>
        <rFont val="Calibri"/>
        <family val="2"/>
        <scheme val="minor"/>
      </rPr>
      <t xml:space="preserve"> not a forecast, or Ofgem expectation of future wholesale prices</t>
    </r>
    <r>
      <rPr>
        <sz val="11"/>
        <color theme="1"/>
        <rFont val="Calibri"/>
        <family val="2"/>
        <scheme val="minor"/>
      </rPr>
      <t xml:space="preserve">. These prices are used to drive the equations in tabs Wpc and Wc to produce the adjacent charts. Users may input their own wholesale price predictions to estimate future MSC values.
Similarly, the values used for the price cap indices are purely for illustrative purposes and are </t>
    </r>
    <r>
      <rPr>
        <u/>
        <sz val="11"/>
        <color theme="1"/>
        <rFont val="Calibri"/>
        <family val="2"/>
        <scheme val="minor"/>
      </rPr>
      <t>not a forecast of Ofgem expectation of future price cap levels.</t>
    </r>
    <r>
      <rPr>
        <sz val="11"/>
        <color theme="1"/>
        <rFont val="Calibri"/>
        <family val="2"/>
        <scheme val="minor"/>
      </rPr>
      <t xml:space="preserve">
Users should remember that this tool makes a number of assumptions and simplifications so </t>
    </r>
    <r>
      <rPr>
        <u/>
        <sz val="11"/>
        <color theme="1"/>
        <rFont val="Calibri"/>
        <family val="2"/>
        <scheme val="minor"/>
      </rPr>
      <t>should not be relied upon for definitive MSC values.</t>
    </r>
    <r>
      <rPr>
        <sz val="11"/>
        <color theme="1"/>
        <rFont val="Calibri"/>
        <family val="2"/>
        <scheme val="minor"/>
      </rPr>
      <t xml:space="preserve">
</t>
    </r>
  </si>
  <si>
    <r>
      <t>W</t>
    </r>
    <r>
      <rPr>
        <vertAlign val="subscript"/>
        <sz val="11"/>
        <color theme="1"/>
        <rFont val="Calibri"/>
        <family val="2"/>
        <scheme val="minor"/>
      </rPr>
      <t>c</t>
    </r>
    <r>
      <rPr>
        <sz val="11"/>
        <color theme="1"/>
        <rFont val="Calibri"/>
        <family val="2"/>
        <scheme val="minor"/>
      </rPr>
      <t xml:space="preserve"> (including UIG)</t>
    </r>
  </si>
  <si>
    <r>
      <t>W</t>
    </r>
    <r>
      <rPr>
        <vertAlign val="subscript"/>
        <sz val="11"/>
        <rFont val="Calibri"/>
        <family val="2"/>
        <scheme val="minor"/>
      </rPr>
      <t>t</t>
    </r>
    <r>
      <rPr>
        <sz val="11"/>
        <rFont val="Calibri"/>
        <family val="2"/>
        <scheme val="minor"/>
      </rPr>
      <t xml:space="preserve"> (including UIG)</t>
    </r>
  </si>
  <si>
    <t>Wt (including UIG)</t>
  </si>
  <si>
    <t>Wc (including UIG)</t>
  </si>
  <si>
    <t>Wpc (including UIG)</t>
  </si>
  <si>
    <t>UIG</t>
  </si>
  <si>
    <t>p/therm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</si>
</sst>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0.000000000000000%"/>
    <numFmt numFmtId="167" formatCode="0.000"/>
    <numFmt numFmtId="168" formatCode="0.0000"/>
    <numFmt numFmtId="169" formatCode="0.0"/>
    <numFmt numFmtId="170" formatCode="&quot;£&quot;#,##0.00"/>
    <numFmt numFmtId="171" formatCode="_-[$€-2]* #,##0.00_-;\-[$€-2]* #,##0.00_-;_-[$€-2]* &quot;-&quot;??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1"/>
      <color theme="1"/>
      <name val="Calibri"/>
      <family val="2"/>
    </font>
    <font>
      <sz val="11"/>
      <color theme="6"/>
      <name val="Calibri"/>
      <family val="2"/>
      <scheme val="minor"/>
    </font>
    <font>
      <vertAlign val="subscript"/>
      <sz val="11"/>
      <color theme="1"/>
      <name val="Calibri"/>
      <family val="2"/>
      <scheme val="minor"/>
    </font>
    <font>
      <vertAlign val="superscript"/>
      <sz val="11"/>
      <color theme="1"/>
      <name val="Calibri"/>
      <family val="2"/>
      <scheme val="minor"/>
    </font>
    <font>
      <sz val="11"/>
      <name val="Calibri"/>
      <family val="2"/>
      <scheme val="minor"/>
    </font>
    <font>
      <vertAlign val="subscript"/>
      <sz val="11"/>
      <name val="Calibri"/>
      <family val="2"/>
      <scheme val="minor"/>
    </font>
    <font>
      <u/>
      <sz val="11"/>
      <color theme="1"/>
      <name val="Calibri"/>
      <family val="2"/>
      <scheme val="minor"/>
    </font>
    <font>
      <sz val="10"/>
      <color theme="1"/>
      <name val="Verdana"/>
      <family val="2"/>
    </font>
    <font>
      <sz val="11"/>
      <color rgb="FFC00000"/>
      <name val="Calibri"/>
      <family val="2"/>
      <scheme val="minor"/>
    </font>
    <font>
      <sz val="11"/>
      <color theme="6" tint="-0.499984740745262"/>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BCDF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171" fontId="4" fillId="0" borderId="0"/>
    <xf numFmtId="0" fontId="12" fillId="0" borderId="0"/>
  </cellStyleXfs>
  <cellXfs count="88">
    <xf numFmtId="0" fontId="0" fillId="0" borderId="0" xfId="0"/>
    <xf numFmtId="0" fontId="4" fillId="2" borderId="0" xfId="0" applyFont="1" applyFill="1"/>
    <xf numFmtId="15" fontId="0" fillId="2" borderId="0" xfId="0" applyNumberFormat="1" applyFill="1"/>
    <xf numFmtId="0" fontId="4" fillId="3" borderId="0" xfId="0" applyFont="1" applyFill="1"/>
    <xf numFmtId="15" fontId="0" fillId="3" borderId="0" xfId="0" applyNumberFormat="1" applyFill="1"/>
    <xf numFmtId="2" fontId="0" fillId="0" borderId="0" xfId="0" applyNumberFormat="1"/>
    <xf numFmtId="0" fontId="0" fillId="2" borderId="0" xfId="0" applyFill="1"/>
    <xf numFmtId="0" fontId="0" fillId="3" borderId="0" xfId="0" applyFill="1"/>
    <xf numFmtId="14" fontId="0" fillId="3" borderId="0" xfId="0" applyNumberFormat="1" applyFill="1"/>
    <xf numFmtId="0" fontId="2" fillId="0" borderId="0" xfId="0" applyFont="1"/>
    <xf numFmtId="9" fontId="0" fillId="0" borderId="0" xfId="0" applyNumberFormat="1"/>
    <xf numFmtId="168" fontId="0" fillId="0" borderId="0" xfId="0" applyNumberFormat="1"/>
    <xf numFmtId="14" fontId="0" fillId="0" borderId="0" xfId="0" applyNumberFormat="1"/>
    <xf numFmtId="9" fontId="0" fillId="0" borderId="0" xfId="1" applyFont="1"/>
    <xf numFmtId="9" fontId="0" fillId="2" borderId="0" xfId="0" applyNumberFormat="1" applyFill="1"/>
    <xf numFmtId="9" fontId="0" fillId="3" borderId="0" xfId="0" applyNumberFormat="1" applyFill="1"/>
    <xf numFmtId="0" fontId="0" fillId="0" borderId="0" xfId="0" applyAlignment="1">
      <alignment horizontal="right"/>
    </xf>
    <xf numFmtId="0" fontId="0" fillId="0" borderId="1" xfId="0" applyBorder="1"/>
    <xf numFmtId="2" fontId="0" fillId="5" borderId="0" xfId="0" applyNumberFormat="1" applyFill="1"/>
    <xf numFmtId="2" fontId="2" fillId="5" borderId="0" xfId="0" applyNumberFormat="1" applyFont="1" applyFill="1"/>
    <xf numFmtId="169" fontId="0" fillId="0" borderId="0" xfId="0" applyNumberFormat="1"/>
    <xf numFmtId="14" fontId="0" fillId="6" borderId="0" xfId="0" applyNumberFormat="1" applyFill="1"/>
    <xf numFmtId="0" fontId="2" fillId="8" borderId="0" xfId="0" applyFont="1" applyFill="1"/>
    <xf numFmtId="0" fontId="2" fillId="8" borderId="0" xfId="0" applyFont="1" applyFill="1" applyAlignment="1">
      <alignment horizontal="center"/>
    </xf>
    <xf numFmtId="170" fontId="0" fillId="7" borderId="0" xfId="0" applyNumberFormat="1" applyFill="1"/>
    <xf numFmtId="0" fontId="0" fillId="0" borderId="0" xfId="0" applyAlignment="1">
      <alignment vertical="center" wrapText="1"/>
    </xf>
    <xf numFmtId="0" fontId="0" fillId="9" borderId="0" xfId="0" applyFill="1"/>
    <xf numFmtId="0" fontId="0" fillId="9" borderId="0" xfId="0" applyFill="1" applyAlignment="1">
      <alignment horizontal="right"/>
    </xf>
    <xf numFmtId="0" fontId="2" fillId="9" borderId="0" xfId="0" applyFont="1" applyFill="1"/>
    <xf numFmtId="168" fontId="0" fillId="9" borderId="0" xfId="0" applyNumberFormat="1" applyFill="1"/>
    <xf numFmtId="14" fontId="0" fillId="9" borderId="0" xfId="0" applyNumberFormat="1" applyFill="1"/>
    <xf numFmtId="165" fontId="0" fillId="9" borderId="0" xfId="1" applyNumberFormat="1" applyFont="1" applyFill="1"/>
    <xf numFmtId="0" fontId="6" fillId="9" borderId="0" xfId="0" applyFont="1" applyFill="1"/>
    <xf numFmtId="165" fontId="0" fillId="9" borderId="0" xfId="0" applyNumberFormat="1" applyFill="1"/>
    <xf numFmtId="2" fontId="0" fillId="9" borderId="0" xfId="0" applyNumberFormat="1" applyFill="1"/>
    <xf numFmtId="0" fontId="3" fillId="9" borderId="0" xfId="0" applyFont="1" applyFill="1" applyAlignment="1">
      <alignment wrapText="1"/>
    </xf>
    <xf numFmtId="167" fontId="0" fillId="9" borderId="0" xfId="0" applyNumberFormat="1" applyFill="1"/>
    <xf numFmtId="166" fontId="0" fillId="9" borderId="0" xfId="0" applyNumberFormat="1" applyFill="1"/>
    <xf numFmtId="9" fontId="2" fillId="9" borderId="0" xfId="1" applyFont="1" applyFill="1"/>
    <xf numFmtId="9" fontId="0" fillId="9" borderId="0" xfId="1" applyFont="1" applyFill="1" applyBorder="1"/>
    <xf numFmtId="9" fontId="0" fillId="9" borderId="0" xfId="1" applyFont="1" applyFill="1"/>
    <xf numFmtId="170" fontId="0" fillId="9" borderId="0" xfId="0" applyNumberFormat="1" applyFill="1"/>
    <xf numFmtId="9" fontId="0" fillId="5" borderId="0" xfId="1" applyFont="1" applyFill="1"/>
    <xf numFmtId="2" fontId="0" fillId="0" borderId="0" xfId="0" applyNumberFormat="1" applyAlignment="1">
      <alignment vertical="center" wrapText="1"/>
    </xf>
    <xf numFmtId="0" fontId="0" fillId="0" borderId="0" xfId="0" applyAlignment="1">
      <alignment horizontal="left" vertical="top" wrapText="1"/>
    </xf>
    <xf numFmtId="0" fontId="0" fillId="0" borderId="1" xfId="0" applyBorder="1" applyAlignment="1">
      <alignment horizontal="right"/>
    </xf>
    <xf numFmtId="0" fontId="0" fillId="0" borderId="1" xfId="0" applyBorder="1" applyAlignment="1">
      <alignment vertical="center" wrapText="1"/>
    </xf>
    <xf numFmtId="0" fontId="0" fillId="0" borderId="1" xfId="0" applyBorder="1" applyAlignment="1">
      <alignment vertical="center"/>
    </xf>
    <xf numFmtId="0" fontId="0" fillId="9" borderId="0" xfId="0" applyFill="1" applyAlignment="1">
      <alignment horizontal="center" vertical="center" wrapText="1"/>
    </xf>
    <xf numFmtId="0" fontId="0" fillId="9" borderId="0" xfId="0" applyFill="1" applyAlignment="1">
      <alignment vertical="center" wrapText="1"/>
    </xf>
    <xf numFmtId="0" fontId="0" fillId="10" borderId="0" xfId="0" applyFill="1"/>
    <xf numFmtId="0" fontId="0" fillId="9" borderId="0" xfId="0" applyFill="1" applyAlignment="1">
      <alignment horizontal="center"/>
    </xf>
    <xf numFmtId="2" fontId="0" fillId="10" borderId="0" xfId="0" applyNumberFormat="1" applyFill="1"/>
    <xf numFmtId="167" fontId="0" fillId="10" borderId="0" xfId="0" applyNumberFormat="1" applyFill="1"/>
    <xf numFmtId="164" fontId="0" fillId="4" borderId="0" xfId="2" applyFont="1" applyFill="1"/>
    <xf numFmtId="0" fontId="0" fillId="4" borderId="1" xfId="0" applyFill="1" applyBorder="1"/>
    <xf numFmtId="169" fontId="0" fillId="4" borderId="0" xfId="0" applyNumberFormat="1" applyFill="1"/>
    <xf numFmtId="0" fontId="0" fillId="0" borderId="1" xfId="0" applyBorder="1" applyAlignment="1">
      <alignment wrapText="1"/>
    </xf>
    <xf numFmtId="0" fontId="9" fillId="0" borderId="1" xfId="0" applyFont="1" applyBorder="1" applyAlignment="1">
      <alignment wrapText="1"/>
    </xf>
    <xf numFmtId="0" fontId="9" fillId="0" borderId="1" xfId="0" applyFont="1" applyBorder="1"/>
    <xf numFmtId="0" fontId="0" fillId="0" borderId="1" xfId="0" applyBorder="1" applyAlignment="1">
      <alignment horizontal="center"/>
    </xf>
    <xf numFmtId="1" fontId="0" fillId="0" borderId="0" xfId="0" applyNumberFormat="1"/>
    <xf numFmtId="167" fontId="0" fillId="0" borderId="0" xfId="0" applyNumberFormat="1"/>
    <xf numFmtId="0" fontId="2" fillId="9" borderId="2" xfId="0" applyFont="1" applyFill="1" applyBorder="1" applyAlignment="1">
      <alignment horizontal="center"/>
    </xf>
    <xf numFmtId="14" fontId="0" fillId="9" borderId="2" xfId="0" applyNumberFormat="1" applyFill="1" applyBorder="1" applyAlignment="1">
      <alignment horizontal="center"/>
    </xf>
    <xf numFmtId="0" fontId="0" fillId="9" borderId="2" xfId="0" applyFill="1" applyBorder="1" applyAlignment="1">
      <alignment horizontal="center"/>
    </xf>
    <xf numFmtId="0" fontId="0" fillId="9" borderId="2" xfId="0" applyFill="1" applyBorder="1"/>
    <xf numFmtId="14" fontId="0" fillId="9" borderId="2" xfId="0" applyNumberFormat="1" applyFill="1" applyBorder="1" applyAlignment="1">
      <alignment horizontal="center" vertical="center"/>
    </xf>
    <xf numFmtId="14" fontId="2" fillId="0" borderId="0" xfId="0" applyNumberFormat="1" applyFont="1"/>
    <xf numFmtId="10" fontId="0" fillId="6" borderId="0" xfId="0" applyNumberFormat="1" applyFill="1"/>
    <xf numFmtId="9" fontId="0" fillId="6" borderId="0" xfId="0" applyNumberFormat="1" applyFill="1"/>
    <xf numFmtId="167" fontId="0" fillId="5" borderId="0" xfId="0" applyNumberFormat="1" applyFill="1"/>
    <xf numFmtId="0" fontId="13" fillId="9" borderId="0" xfId="0" applyFont="1" applyFill="1"/>
    <xf numFmtId="14" fontId="13" fillId="9" borderId="2" xfId="0" applyNumberFormat="1" applyFont="1" applyFill="1" applyBorder="1" applyAlignment="1">
      <alignment horizontal="center"/>
    </xf>
    <xf numFmtId="0" fontId="13" fillId="9" borderId="2" xfId="0" applyFont="1" applyFill="1" applyBorder="1" applyAlignment="1">
      <alignment horizontal="center"/>
    </xf>
    <xf numFmtId="0" fontId="9" fillId="9" borderId="0" xfId="0" applyFont="1" applyFill="1"/>
    <xf numFmtId="10" fontId="4" fillId="3" borderId="0" xfId="0" applyNumberFormat="1" applyFont="1" applyFill="1"/>
    <xf numFmtId="10" fontId="4" fillId="2" borderId="0" xfId="0" applyNumberFormat="1" applyFont="1" applyFill="1"/>
    <xf numFmtId="0" fontId="14" fillId="9" borderId="0" xfId="0" applyFont="1" applyFill="1"/>
    <xf numFmtId="0" fontId="14" fillId="0" borderId="0" xfId="0" applyFont="1"/>
    <xf numFmtId="0" fontId="0" fillId="0" borderId="0" xfId="0" applyAlignment="1">
      <alignment horizontal="center" vertical="center" wrapText="1"/>
    </xf>
    <xf numFmtId="0" fontId="2" fillId="8" borderId="0" xfId="0" applyFont="1" applyFill="1" applyAlignment="1">
      <alignment horizontal="center"/>
    </xf>
    <xf numFmtId="0" fontId="0" fillId="9" borderId="0" xfId="0" applyFill="1" applyAlignment="1">
      <alignment horizontal="center" vertical="center"/>
    </xf>
    <xf numFmtId="0" fontId="0" fillId="4" borderId="0" xfId="0" applyFill="1" applyAlignment="1">
      <alignment horizontal="center"/>
    </xf>
    <xf numFmtId="14" fontId="0" fillId="6" borderId="0" xfId="0" applyNumberFormat="1" applyFill="1" applyAlignment="1">
      <alignment horizontal="center"/>
    </xf>
    <xf numFmtId="0" fontId="0" fillId="7" borderId="0" xfId="0" applyFill="1" applyAlignment="1">
      <alignment horizontal="center"/>
    </xf>
    <xf numFmtId="2" fontId="0" fillId="5" borderId="0" xfId="0" applyNumberFormat="1" applyFill="1" applyAlignment="1">
      <alignment horizontal="center"/>
    </xf>
    <xf numFmtId="0" fontId="0" fillId="9" borderId="0" xfId="0" applyFill="1" applyAlignment="1">
      <alignment horizontal="left" wrapText="1"/>
    </xf>
  </cellXfs>
  <cellStyles count="7">
    <cellStyle name="Comma" xfId="2" builtinId="3"/>
    <cellStyle name="Normal" xfId="0" builtinId="0"/>
    <cellStyle name="Normal 10 2" xfId="5" xr:uid="{CF1C6706-F884-4225-BAE1-6648E0ECA600}"/>
    <cellStyle name="Normal 10 2 4" xfId="4" xr:uid="{E25E2706-76AD-4CDB-B775-F1FA8B5FD09A}"/>
    <cellStyle name="Normal 2" xfId="3" xr:uid="{ED914E16-AC48-4D3A-AD77-585E7AE193DD}"/>
    <cellStyle name="Normal 58" xfId="6" xr:uid="{FC267EC2-5DD6-4A7C-9AAA-14595A00A895}"/>
    <cellStyle name="Percent" xfId="1"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BCDF2"/>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10.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6.xml"/><Relationship Id="rId12" Type="http://schemas.openxmlformats.org/officeDocument/2006/relationships/chartsheet" Target="chartsheets/sheet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9.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8.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hartsheet" Target="chartsheets/sheet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800" b="0" i="0" baseline="0">
                <a:effectLst/>
              </a:rPr>
              <a:t>Wholesale Cost, Trigger Point &amp; Market Stabilisation Charge</a:t>
            </a:r>
            <a:endParaRPr lang="en-GB">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0"/>
          <c:order val="0"/>
          <c:tx>
            <c:v>Wholesale cost</c:v>
          </c:tx>
          <c:spPr>
            <a:ln w="19050" cap="rnd">
              <a:solidFill>
                <a:schemeClr val="accent1"/>
              </a:solidFill>
              <a:round/>
            </a:ln>
            <a:effectLst/>
          </c:spPr>
          <c:marker>
            <c:symbol val="none"/>
          </c:marker>
          <c:xVal>
            <c:numRef>
              <c:f>'Elec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Wc'!$W$23:$W$147</c:f>
              <c:numCache>
                <c:formatCode>0.0</c:formatCode>
                <c:ptCount val="125"/>
                <c:pt idx="0">
                  <c:v>0</c:v>
                </c:pt>
                <c:pt idx="1">
                  <c:v>244.17262958144784</c:v>
                </c:pt>
                <c:pt idx="2">
                  <c:v>244.17262958144784</c:v>
                </c:pt>
                <c:pt idx="3">
                  <c:v>244.17262958144784</c:v>
                </c:pt>
                <c:pt idx="4">
                  <c:v>244.17262958144784</c:v>
                </c:pt>
                <c:pt idx="5">
                  <c:v>244.17262958144784</c:v>
                </c:pt>
                <c:pt idx="6">
                  <c:v>236.06080613570461</c:v>
                </c:pt>
                <c:pt idx="7">
                  <c:v>236.06080613570461</c:v>
                </c:pt>
                <c:pt idx="8">
                  <c:v>236.06080613570461</c:v>
                </c:pt>
                <c:pt idx="9">
                  <c:v>236.06080613570461</c:v>
                </c:pt>
                <c:pt idx="10">
                  <c:v>226.560727410477</c:v>
                </c:pt>
                <c:pt idx="11">
                  <c:v>226.560727410477</c:v>
                </c:pt>
                <c:pt idx="12">
                  <c:v>226.560727410477</c:v>
                </c:pt>
                <c:pt idx="13">
                  <c:v>226.560727410477</c:v>
                </c:pt>
                <c:pt idx="14">
                  <c:v>220.96786119204816</c:v>
                </c:pt>
                <c:pt idx="15">
                  <c:v>220.96786119204816</c:v>
                </c:pt>
                <c:pt idx="16">
                  <c:v>220.96786119204816</c:v>
                </c:pt>
                <c:pt idx="17">
                  <c:v>220.96786119204816</c:v>
                </c:pt>
                <c:pt idx="18">
                  <c:v>220.96786119204816</c:v>
                </c:pt>
                <c:pt idx="19">
                  <c:v>206.61750305169812</c:v>
                </c:pt>
                <c:pt idx="20">
                  <c:v>206.61750305169812</c:v>
                </c:pt>
                <c:pt idx="21">
                  <c:v>206.61750305169812</c:v>
                </c:pt>
                <c:pt idx="22">
                  <c:v>206.61750305169812</c:v>
                </c:pt>
                <c:pt idx="23">
                  <c:v>189.4153382445671</c:v>
                </c:pt>
                <c:pt idx="24">
                  <c:v>189.4153382445671</c:v>
                </c:pt>
                <c:pt idx="25">
                  <c:v>189.4153382445671</c:v>
                </c:pt>
                <c:pt idx="26">
                  <c:v>189.4153382445671</c:v>
                </c:pt>
                <c:pt idx="27">
                  <c:v>189.4153382445671</c:v>
                </c:pt>
                <c:pt idx="28">
                  <c:v>173.67631273002934</c:v>
                </c:pt>
                <c:pt idx="29">
                  <c:v>173.67631273002934</c:v>
                </c:pt>
                <c:pt idx="30">
                  <c:v>173.67631273002934</c:v>
                </c:pt>
                <c:pt idx="31">
                  <c:v>173.67631273002934</c:v>
                </c:pt>
                <c:pt idx="32">
                  <c:v>173.67631273002934</c:v>
                </c:pt>
                <c:pt idx="33">
                  <c:v>157.68797207222161</c:v>
                </c:pt>
                <c:pt idx="34">
                  <c:v>157.68797207222161</c:v>
                </c:pt>
                <c:pt idx="35">
                  <c:v>157.68797207222161</c:v>
                </c:pt>
                <c:pt idx="36">
                  <c:v>157.68797207222161</c:v>
                </c:pt>
                <c:pt idx="37">
                  <c:v>157.68797207222161</c:v>
                </c:pt>
                <c:pt idx="38">
                  <c:v>145.2612807601684</c:v>
                </c:pt>
                <c:pt idx="39">
                  <c:v>145.2612807601684</c:v>
                </c:pt>
                <c:pt idx="40">
                  <c:v>145.2612807601684</c:v>
                </c:pt>
                <c:pt idx="41">
                  <c:v>141.66368011493566</c:v>
                </c:pt>
                <c:pt idx="42">
                  <c:v>141.66368011493566</c:v>
                </c:pt>
                <c:pt idx="43">
                  <c:v>141.66368011493566</c:v>
                </c:pt>
                <c:pt idx="44">
                  <c:v>141.66368011493566</c:v>
                </c:pt>
                <c:pt idx="45">
                  <c:v>141.66368011493566</c:v>
                </c:pt>
                <c:pt idx="46">
                  <c:v>130.61187581775624</c:v>
                </c:pt>
                <c:pt idx="47">
                  <c:v>130.61187581775624</c:v>
                </c:pt>
                <c:pt idx="48">
                  <c:v>130.61187581775624</c:v>
                </c:pt>
                <c:pt idx="49">
                  <c:v>130.61187581775624</c:v>
                </c:pt>
                <c:pt idx="50">
                  <c:v>130.61187581775624</c:v>
                </c:pt>
                <c:pt idx="51">
                  <c:v>117.96701758583558</c:v>
                </c:pt>
                <c:pt idx="52">
                  <c:v>117.96701758583558</c:v>
                </c:pt>
                <c:pt idx="53">
                  <c:v>117.96701758583558</c:v>
                </c:pt>
                <c:pt idx="54">
                  <c:v>117.96701758583558</c:v>
                </c:pt>
                <c:pt idx="55">
                  <c:v>117.96701758583558</c:v>
                </c:pt>
                <c:pt idx="56">
                  <c:v>106.55226543282583</c:v>
                </c:pt>
                <c:pt idx="57">
                  <c:v>106.55226543282583</c:v>
                </c:pt>
                <c:pt idx="58">
                  <c:v>106.55226543282583</c:v>
                </c:pt>
                <c:pt idx="59">
                  <c:v>106.55226543282583</c:v>
                </c:pt>
                <c:pt idx="60">
                  <c:v>106.55226543282583</c:v>
                </c:pt>
                <c:pt idx="61">
                  <c:v>96.246851047964171</c:v>
                </c:pt>
                <c:pt idx="62">
                  <c:v>96.246851047964171</c:v>
                </c:pt>
                <c:pt idx="63">
                  <c:v>96.246851047964171</c:v>
                </c:pt>
                <c:pt idx="64">
                  <c:v>96.246851047964171</c:v>
                </c:pt>
                <c:pt idx="65">
                  <c:v>96.246851047964171</c:v>
                </c:pt>
                <c:pt idx="66">
                  <c:v>86.942081107390806</c:v>
                </c:pt>
                <c:pt idx="67">
                  <c:v>86.942081107390806</c:v>
                </c:pt>
                <c:pt idx="68">
                  <c:v>86.942081107390806</c:v>
                </c:pt>
                <c:pt idx="69">
                  <c:v>86.942081107390806</c:v>
                </c:pt>
                <c:pt idx="70">
                  <c:v>86.942081107390806</c:v>
                </c:pt>
                <c:pt idx="71">
                  <c:v>78.540083988541724</c:v>
                </c:pt>
                <c:pt idx="72">
                  <c:v>78.540083988541724</c:v>
                </c:pt>
                <c:pt idx="73">
                  <c:v>78.540083988541724</c:v>
                </c:pt>
                <c:pt idx="74">
                  <c:v>78.540083988541724</c:v>
                </c:pt>
                <c:pt idx="75">
                  <c:v>78.540083988541724</c:v>
                </c:pt>
                <c:pt idx="76">
                  <c:v>70.695986450339177</c:v>
                </c:pt>
                <c:pt idx="77">
                  <c:v>70.695986450339177</c:v>
                </c:pt>
                <c:pt idx="78">
                  <c:v>70.695986450339177</c:v>
                </c:pt>
                <c:pt idx="79">
                  <c:v>70.695986450339177</c:v>
                </c:pt>
                <c:pt idx="80">
                  <c:v>70.695986450339177</c:v>
                </c:pt>
                <c:pt idx="81">
                  <c:v>62.982955262080239</c:v>
                </c:pt>
                <c:pt idx="82">
                  <c:v>62.982955262080239</c:v>
                </c:pt>
                <c:pt idx="83">
                  <c:v>62.982955262080239</c:v>
                </c:pt>
                <c:pt idx="84">
                  <c:v>62.982955262080239</c:v>
                </c:pt>
                <c:pt idx="85">
                  <c:v>62.982955262080239</c:v>
                </c:pt>
                <c:pt idx="86">
                  <c:v>53.280710581684886</c:v>
                </c:pt>
                <c:pt idx="87">
                  <c:v>53.280710581684886</c:v>
                </c:pt>
                <c:pt idx="88">
                  <c:v>53.280710581684886</c:v>
                </c:pt>
                <c:pt idx="89">
                  <c:v>53.280710581684886</c:v>
                </c:pt>
                <c:pt idx="90">
                  <c:v>53.280710581684886</c:v>
                </c:pt>
                <c:pt idx="91">
                  <c:v>55.025959781685629</c:v>
                </c:pt>
                <c:pt idx="92">
                  <c:v>55.025959781685629</c:v>
                </c:pt>
                <c:pt idx="93">
                  <c:v>55.025959781685629</c:v>
                </c:pt>
                <c:pt idx="94">
                  <c:v>55.025959781685629</c:v>
                </c:pt>
                <c:pt idx="95">
                  <c:v>55.025959781685629</c:v>
                </c:pt>
                <c:pt idx="96">
                  <c:v>57.423378291989209</c:v>
                </c:pt>
                <c:pt idx="97">
                  <c:v>57.423378291989209</c:v>
                </c:pt>
                <c:pt idx="98">
                  <c:v>57.423378291989209</c:v>
                </c:pt>
                <c:pt idx="99">
                  <c:v>57.423378291989209</c:v>
                </c:pt>
                <c:pt idx="100">
                  <c:v>57.423378291989209</c:v>
                </c:pt>
                <c:pt idx="101">
                  <c:v>62.984522606909515</c:v>
                </c:pt>
                <c:pt idx="102">
                  <c:v>62.984522606909515</c:v>
                </c:pt>
                <c:pt idx="103">
                  <c:v>62.984522606909515</c:v>
                </c:pt>
                <c:pt idx="104">
                  <c:v>62.984522606909515</c:v>
                </c:pt>
                <c:pt idx="105">
                  <c:v>57.770337575898075</c:v>
                </c:pt>
                <c:pt idx="106">
                  <c:v>57.770337575898075</c:v>
                </c:pt>
                <c:pt idx="107">
                  <c:v>57.770337575898075</c:v>
                </c:pt>
                <c:pt idx="108">
                  <c:v>57.770337575898075</c:v>
                </c:pt>
                <c:pt idx="109">
                  <c:v>57.770337575898075</c:v>
                </c:pt>
                <c:pt idx="110">
                  <c:v>48.354806006930467</c:v>
                </c:pt>
                <c:pt idx="111">
                  <c:v>48.354806006930467</c:v>
                </c:pt>
                <c:pt idx="112">
                  <c:v>48.354806006930467</c:v>
                </c:pt>
                <c:pt idx="113">
                  <c:v>48.354806006930467</c:v>
                </c:pt>
                <c:pt idx="114">
                  <c:v>48.354806006930467</c:v>
                </c:pt>
                <c:pt idx="115">
                  <c:v>36.240857477222008</c:v>
                </c:pt>
                <c:pt idx="116">
                  <c:v>36.240857477222008</c:v>
                </c:pt>
                <c:pt idx="117">
                  <c:v>36.240857477222008</c:v>
                </c:pt>
                <c:pt idx="118">
                  <c:v>36.240857477222008</c:v>
                </c:pt>
                <c:pt idx="119">
                  <c:v>36.240857477222008</c:v>
                </c:pt>
                <c:pt idx="120">
                  <c:v>45.982487633257506</c:v>
                </c:pt>
                <c:pt idx="121">
                  <c:v>45.982487633257506</c:v>
                </c:pt>
                <c:pt idx="122">
                  <c:v>45.982487633257506</c:v>
                </c:pt>
                <c:pt idx="123">
                  <c:v>45.982487633257506</c:v>
                </c:pt>
                <c:pt idx="124">
                  <c:v>45.982487633257506</c:v>
                </c:pt>
              </c:numCache>
            </c:numRef>
          </c:yVal>
          <c:smooth val="0"/>
          <c:extLst>
            <c:ext xmlns:c16="http://schemas.microsoft.com/office/drawing/2014/chart" uri="{C3380CC4-5D6E-409C-BE32-E72D297353CC}">
              <c16:uniqueId val="{00000000-F59C-47AB-B9A2-E6CE10364CD1}"/>
            </c:ext>
          </c:extLst>
        </c:ser>
        <c:ser>
          <c:idx val="1"/>
          <c:order val="1"/>
          <c:tx>
            <c:v>Trigger point</c:v>
          </c:tx>
          <c:spPr>
            <a:ln w="19050" cap="rnd">
              <a:solidFill>
                <a:schemeClr val="accent2"/>
              </a:solidFill>
              <a:round/>
            </a:ln>
            <a:effectLst/>
          </c:spPr>
          <c:marker>
            <c:symbol val="none"/>
          </c:marker>
          <c:xVal>
            <c:numRef>
              <c:f>'Elec Wpc'!$D$22:$D$204</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'Elec Wpc'!$T$22:$T$204</c:f>
              <c:numCache>
                <c:formatCode>0.00</c:formatCode>
                <c:ptCount val="183"/>
                <c:pt idx="0">
                  <c:v>143.53865269394731</c:v>
                </c:pt>
                <c:pt idx="1">
                  <c:v>143.88007620458109</c:v>
                </c:pt>
                <c:pt idx="2">
                  <c:v>144.22241537206963</c:v>
                </c:pt>
                <c:pt idx="3">
                  <c:v>144.56567388488156</c:v>
                </c:pt>
                <c:pt idx="4">
                  <c:v>144.9098554513227</c:v>
                </c:pt>
                <c:pt idx="5">
                  <c:v>145.25496379966981</c:v>
                </c:pt>
                <c:pt idx="6">
                  <c:v>145.60100267830487</c:v>
                </c:pt>
                <c:pt idx="7">
                  <c:v>145.94797585585113</c:v>
                </c:pt>
                <c:pt idx="8">
                  <c:v>146.29588712130979</c:v>
                </c:pt>
                <c:pt idx="9">
                  <c:v>146.64474028419789</c:v>
                </c:pt>
                <c:pt idx="10">
                  <c:v>146.99453917468733</c:v>
                </c:pt>
                <c:pt idx="11">
                  <c:v>147.34528764374511</c:v>
                </c:pt>
                <c:pt idx="12">
                  <c:v>147.69698956327468</c:v>
                </c:pt>
                <c:pt idx="13">
                  <c:v>148.04964882625836</c:v>
                </c:pt>
                <c:pt idx="14">
                  <c:v>148.403269346901</c:v>
                </c:pt>
                <c:pt idx="15">
                  <c:v>148.75785506077474</c:v>
                </c:pt>
                <c:pt idx="16">
                  <c:v>149.11340992496514</c:v>
                </c:pt>
                <c:pt idx="17">
                  <c:v>149.46993791821816</c:v>
                </c:pt>
                <c:pt idx="18">
                  <c:v>149.8274430410888</c:v>
                </c:pt>
                <c:pt idx="19">
                  <c:v>150.18592931609072</c:v>
                </c:pt>
                <c:pt idx="20">
                  <c:v>150.54540078784689</c:v>
                </c:pt>
                <c:pt idx="21">
                  <c:v>150.9058615232419</c:v>
                </c:pt>
                <c:pt idx="22">
                  <c:v>151.26731561157521</c:v>
                </c:pt>
                <c:pt idx="23">
                  <c:v>151.62976716471607</c:v>
                </c:pt>
                <c:pt idx="24">
                  <c:v>151.99322031725893</c:v>
                </c:pt>
                <c:pt idx="25">
                  <c:v>152.3576792266812</c:v>
                </c:pt>
                <c:pt idx="26">
                  <c:v>152.72314807350133</c:v>
                </c:pt>
                <c:pt idx="27">
                  <c:v>153.08963106143904</c:v>
                </c:pt>
                <c:pt idx="28">
                  <c:v>153.45713241757613</c:v>
                </c:pt>
                <c:pt idx="29">
                  <c:v>153.82565639251925</c:v>
                </c:pt>
                <c:pt idx="30">
                  <c:v>154.19520726056373</c:v>
                </c:pt>
                <c:pt idx="31">
                  <c:v>154.56578931985879</c:v>
                </c:pt>
                <c:pt idx="32">
                  <c:v>154.93740689257416</c:v>
                </c:pt>
                <c:pt idx="33">
                  <c:v>155.3100643250682</c:v>
                </c:pt>
                <c:pt idx="34">
                  <c:v>155.68376598805727</c:v>
                </c:pt>
                <c:pt idx="35">
                  <c:v>156.05851627678661</c:v>
                </c:pt>
                <c:pt idx="36">
                  <c:v>156.43431961120265</c:v>
                </c:pt>
                <c:pt idx="37">
                  <c:v>156.81118043612699</c:v>
                </c:pt>
                <c:pt idx="38">
                  <c:v>157.18910322143125</c:v>
                </c:pt>
                <c:pt idx="39">
                  <c:v>157.56809246221403</c:v>
                </c:pt>
                <c:pt idx="40">
                  <c:v>157.94815267897917</c:v>
                </c:pt>
                <c:pt idx="41">
                  <c:v>158.32928841781538</c:v>
                </c:pt>
                <c:pt idx="42">
                  <c:v>158.71150425057755</c:v>
                </c:pt>
                <c:pt idx="43">
                  <c:v>159.09480477506946</c:v>
                </c:pt>
                <c:pt idx="44">
                  <c:v>159.47919461522835</c:v>
                </c:pt>
                <c:pt idx="45">
                  <c:v>159.86467842131063</c:v>
                </c:pt>
                <c:pt idx="46">
                  <c:v>160.25126087007951</c:v>
                </c:pt>
                <c:pt idx="47">
                  <c:v>160.63894666499419</c:v>
                </c:pt>
                <c:pt idx="48">
                  <c:v>161.02774053640047</c:v>
                </c:pt>
                <c:pt idx="49">
                  <c:v>161.59934791371037</c:v>
                </c:pt>
                <c:pt idx="50">
                  <c:v>162.16935044027338</c:v>
                </c:pt>
                <c:pt idx="51">
                  <c:v>162.73775486530818</c:v>
                </c:pt>
                <c:pt idx="52">
                  <c:v>163.30456790024107</c:v>
                </c:pt>
                <c:pt idx="53">
                  <c:v>163.86979621897027</c:v>
                </c:pt>
                <c:pt idx="54">
                  <c:v>164.43344645812792</c:v>
                </c:pt>
                <c:pt idx="55">
                  <c:v>164.99552521733975</c:v>
                </c:pt>
                <c:pt idx="56">
                  <c:v>165.55603905948254</c:v>
                </c:pt>
                <c:pt idx="57">
                  <c:v>166.11499451093982</c:v>
                </c:pt>
                <c:pt idx="58">
                  <c:v>166.67239806185495</c:v>
                </c:pt>
                <c:pt idx="59">
                  <c:v>167.22825616638247</c:v>
                </c:pt>
                <c:pt idx="60">
                  <c:v>167.78257524293699</c:v>
                </c:pt>
                <c:pt idx="61">
                  <c:v>168.33536167444055</c:v>
                </c:pt>
                <c:pt idx="62">
                  <c:v>168.8866218085673</c:v>
                </c:pt>
                <c:pt idx="63">
                  <c:v>169.43636195798678</c:v>
                </c:pt>
                <c:pt idx="64">
                  <c:v>169.98458840060459</c:v>
                </c:pt>
                <c:pt idx="65">
                  <c:v>170.53130737980155</c:v>
                </c:pt>
                <c:pt idx="66">
                  <c:v>171.07652510467057</c:v>
                </c:pt>
                <c:pt idx="67">
                  <c:v>171.62024775025196</c:v>
                </c:pt>
                <c:pt idx="68">
                  <c:v>172.16248145776623</c:v>
                </c:pt>
                <c:pt idx="69">
                  <c:v>172.70323233484558</c:v>
                </c:pt>
                <c:pt idx="70">
                  <c:v>173.24250645576302</c:v>
                </c:pt>
                <c:pt idx="71">
                  <c:v>173.7803098616599</c:v>
                </c:pt>
                <c:pt idx="72">
                  <c:v>174.31664856077157</c:v>
                </c:pt>
                <c:pt idx="73">
                  <c:v>174.8515285286509</c:v>
                </c:pt>
                <c:pt idx="74">
                  <c:v>175.38495570839055</c:v>
                </c:pt>
                <c:pt idx="75">
                  <c:v>175.91693601084268</c:v>
                </c:pt>
                <c:pt idx="76">
                  <c:v>176.44747531483759</c:v>
                </c:pt>
                <c:pt idx="77">
                  <c:v>176.97657946740017</c:v>
                </c:pt>
                <c:pt idx="78">
                  <c:v>177.5042542839646</c:v>
                </c:pt>
                <c:pt idx="79">
                  <c:v>178.03050554858766</c:v>
                </c:pt>
                <c:pt idx="80">
                  <c:v>178.55533901415973</c:v>
                </c:pt>
                <c:pt idx="81">
                  <c:v>179.07876040261476</c:v>
                </c:pt>
                <c:pt idx="82">
                  <c:v>179.60077540513799</c:v>
                </c:pt>
                <c:pt idx="83">
                  <c:v>180.12138968237227</c:v>
                </c:pt>
                <c:pt idx="84">
                  <c:v>180.64060886462286</c:v>
                </c:pt>
                <c:pt idx="85">
                  <c:v>181.15843855205995</c:v>
                </c:pt>
                <c:pt idx="86">
                  <c:v>181.67488431492052</c:v>
                </c:pt>
                <c:pt idx="87">
                  <c:v>182.18995169370771</c:v>
                </c:pt>
                <c:pt idx="88">
                  <c:v>182.70364619938917</c:v>
                </c:pt>
                <c:pt idx="89">
                  <c:v>183.21597331359342</c:v>
                </c:pt>
                <c:pt idx="90">
                  <c:v>183.72693848880496</c:v>
                </c:pt>
                <c:pt idx="91">
                  <c:v>184.2365471485578</c:v>
                </c:pt>
                <c:pt idx="92">
                  <c:v>184.74480468762698</c:v>
                </c:pt>
                <c:pt idx="93">
                  <c:v>185.2517164722193</c:v>
                </c:pt>
                <c:pt idx="94">
                  <c:v>185.75728784016212</c:v>
                </c:pt>
                <c:pt idx="95">
                  <c:v>186.26152410109057</c:v>
                </c:pt>
                <c:pt idx="96">
                  <c:v>186.76443053663354</c:v>
                </c:pt>
                <c:pt idx="97">
                  <c:v>187.26601240059799</c:v>
                </c:pt>
                <c:pt idx="98">
                  <c:v>187.76627491915218</c:v>
                </c:pt>
                <c:pt idx="99">
                  <c:v>188.26522329100675</c:v>
                </c:pt>
                <c:pt idx="100">
                  <c:v>188.76286268759515</c:v>
                </c:pt>
                <c:pt idx="101">
                  <c:v>189.25919825325212</c:v>
                </c:pt>
                <c:pt idx="102">
                  <c:v>189.75423510539119</c:v>
                </c:pt>
                <c:pt idx="103">
                  <c:v>190.24797833468014</c:v>
                </c:pt>
                <c:pt idx="104">
                  <c:v>190.74043300521598</c:v>
                </c:pt>
                <c:pt idx="105">
                  <c:v>191.23160415469778</c:v>
                </c:pt>
                <c:pt idx="106">
                  <c:v>191.72149679459852</c:v>
                </c:pt>
                <c:pt idx="107">
                  <c:v>192.21011591033553</c:v>
                </c:pt>
                <c:pt idx="108">
                  <c:v>192.69746646143966</c:v>
                </c:pt>
                <c:pt idx="109">
                  <c:v>193.18355338172307</c:v>
                </c:pt>
                <c:pt idx="110">
                  <c:v>193.66838157944557</c:v>
                </c:pt>
                <c:pt idx="111">
                  <c:v>194.15195593748004</c:v>
                </c:pt>
                <c:pt idx="112">
                  <c:v>194.63428131347629</c:v>
                </c:pt>
                <c:pt idx="113">
                  <c:v>195.11536254002368</c:v>
                </c:pt>
                <c:pt idx="114">
                  <c:v>195.59520442481244</c:v>
                </c:pt>
                <c:pt idx="115">
                  <c:v>196.07381175079411</c:v>
                </c:pt>
                <c:pt idx="116">
                  <c:v>196.55118927634004</c:v>
                </c:pt>
                <c:pt idx="117">
                  <c:v>197.02734173539949</c:v>
                </c:pt>
                <c:pt idx="118">
                  <c:v>197.50227383765576</c:v>
                </c:pt>
                <c:pt idx="119">
                  <c:v>197.97599026868184</c:v>
                </c:pt>
                <c:pt idx="120">
                  <c:v>198.44849569009418</c:v>
                </c:pt>
                <c:pt idx="121">
                  <c:v>198.91979473970574</c:v>
                </c:pt>
                <c:pt idx="122">
                  <c:v>199.3898920316777</c:v>
                </c:pt>
                <c:pt idx="123">
                  <c:v>199.85879215667015</c:v>
                </c:pt>
                <c:pt idx="124">
                  <c:v>200.32649968199132</c:v>
                </c:pt>
                <c:pt idx="125">
                  <c:v>200.79301915174599</c:v>
                </c:pt>
                <c:pt idx="126">
                  <c:v>201.25835508698279</c:v>
                </c:pt>
                <c:pt idx="127">
                  <c:v>201.7225119858399</c:v>
                </c:pt>
                <c:pt idx="128">
                  <c:v>202.18549432369028</c:v>
                </c:pt>
                <c:pt idx="129">
                  <c:v>202.64730655328543</c:v>
                </c:pt>
                <c:pt idx="130">
                  <c:v>203.10795310489814</c:v>
                </c:pt>
                <c:pt idx="131">
                  <c:v>203.5674383864642</c:v>
                </c:pt>
                <c:pt idx="132">
                  <c:v>204.0257667837227</c:v>
                </c:pt>
                <c:pt idx="133">
                  <c:v>204.48294266035612</c:v>
                </c:pt>
                <c:pt idx="134">
                  <c:v>204.93897035812836</c:v>
                </c:pt>
                <c:pt idx="135">
                  <c:v>205.39385419702236</c:v>
                </c:pt>
                <c:pt idx="136">
                  <c:v>205.84759847537646</c:v>
                </c:pt>
                <c:pt idx="137">
                  <c:v>206.3002074700199</c:v>
                </c:pt>
                <c:pt idx="138">
                  <c:v>206.75168543640709</c:v>
                </c:pt>
                <c:pt idx="139">
                  <c:v>207.20203660875092</c:v>
                </c:pt>
                <c:pt idx="140">
                  <c:v>207.65126520015528</c:v>
                </c:pt>
                <c:pt idx="141">
                  <c:v>208.09937540274643</c:v>
                </c:pt>
                <c:pt idx="142">
                  <c:v>208.54637138780322</c:v>
                </c:pt>
                <c:pt idx="143">
                  <c:v>208.99225730588674</c:v>
                </c:pt>
                <c:pt idx="144">
                  <c:v>209.43703728696869</c:v>
                </c:pt>
                <c:pt idx="145">
                  <c:v>209.88071544055879</c:v>
                </c:pt>
                <c:pt idx="146">
                  <c:v>210.32329585583156</c:v>
                </c:pt>
                <c:pt idx="147">
                  <c:v>210.76478260175185</c:v>
                </c:pt>
                <c:pt idx="148">
                  <c:v>211.20517972719941</c:v>
                </c:pt>
                <c:pt idx="149">
                  <c:v>211.64449126109284</c:v>
                </c:pt>
                <c:pt idx="150">
                  <c:v>212.0827212125125</c:v>
                </c:pt>
                <c:pt idx="151">
                  <c:v>212.51987357082214</c:v>
                </c:pt>
                <c:pt idx="152">
                  <c:v>212.95595230579033</c:v>
                </c:pt>
                <c:pt idx="153">
                  <c:v>213.14145482293992</c:v>
                </c:pt>
                <c:pt idx="154">
                  <c:v>213.32695734008956</c:v>
                </c:pt>
                <c:pt idx="155">
                  <c:v>213.51245985723912</c:v>
                </c:pt>
                <c:pt idx="156">
                  <c:v>213.69796237438879</c:v>
                </c:pt>
                <c:pt idx="157">
                  <c:v>213.88346489153835</c:v>
                </c:pt>
                <c:pt idx="158">
                  <c:v>214.06896740868802</c:v>
                </c:pt>
                <c:pt idx="159">
                  <c:v>214.25446992583758</c:v>
                </c:pt>
                <c:pt idx="160">
                  <c:v>214.4399724429872</c:v>
                </c:pt>
                <c:pt idx="161">
                  <c:v>214.62547496013681</c:v>
                </c:pt>
                <c:pt idx="162">
                  <c:v>214.81097747728646</c:v>
                </c:pt>
                <c:pt idx="163">
                  <c:v>214.99647999443607</c:v>
                </c:pt>
                <c:pt idx="164">
                  <c:v>215.18198251158566</c:v>
                </c:pt>
                <c:pt idx="165">
                  <c:v>215.36748502873527</c:v>
                </c:pt>
                <c:pt idx="166">
                  <c:v>215.55298754588486</c:v>
                </c:pt>
                <c:pt idx="167">
                  <c:v>215.73849006303448</c:v>
                </c:pt>
                <c:pt idx="168">
                  <c:v>215.92399258018412</c:v>
                </c:pt>
                <c:pt idx="169">
                  <c:v>216.10949509733373</c:v>
                </c:pt>
                <c:pt idx="170">
                  <c:v>216.29499761448329</c:v>
                </c:pt>
                <c:pt idx="171">
                  <c:v>216.48050013163294</c:v>
                </c:pt>
                <c:pt idx="172">
                  <c:v>216.66600264878255</c:v>
                </c:pt>
                <c:pt idx="173">
                  <c:v>216.85150516593217</c:v>
                </c:pt>
                <c:pt idx="174">
                  <c:v>217.03700768308175</c:v>
                </c:pt>
                <c:pt idx="175">
                  <c:v>217.2225102002314</c:v>
                </c:pt>
                <c:pt idx="176">
                  <c:v>217.40801271738101</c:v>
                </c:pt>
                <c:pt idx="177">
                  <c:v>217.5935152345306</c:v>
                </c:pt>
                <c:pt idx="178">
                  <c:v>217.77901775168019</c:v>
                </c:pt>
                <c:pt idx="179">
                  <c:v>217.96452026882983</c:v>
                </c:pt>
                <c:pt idx="180">
                  <c:v>218.15002278597947</c:v>
                </c:pt>
                <c:pt idx="181">
                  <c:v>218.33552530312906</c:v>
                </c:pt>
                <c:pt idx="182">
                  <c:v>218.52102782027868</c:v>
                </c:pt>
              </c:numCache>
            </c:numRef>
          </c:yVal>
          <c:smooth val="0"/>
          <c:extLst>
            <c:ext xmlns:c16="http://schemas.microsoft.com/office/drawing/2014/chart" uri="{C3380CC4-5D6E-409C-BE32-E72D297353CC}">
              <c16:uniqueId val="{00000001-F59C-47AB-B9A2-E6CE10364CD1}"/>
            </c:ext>
          </c:extLst>
        </c:ser>
        <c:dLbls>
          <c:showLegendKey val="0"/>
          <c:showVal val="0"/>
          <c:showCatName val="0"/>
          <c:showSerName val="0"/>
          <c:showPercent val="0"/>
          <c:showBubbleSize val="0"/>
        </c:dLbls>
        <c:axId val="460435008"/>
        <c:axId val="460433760"/>
      </c:scatterChart>
      <c:scatterChart>
        <c:scatterStyle val="lineMarker"/>
        <c:varyColors val="0"/>
        <c:ser>
          <c:idx val="2"/>
          <c:order val="2"/>
          <c:tx>
            <c:strRef>
              <c:f>'Elec Mkt Stabilisation Charge'!$J$4</c:f>
              <c:strCache>
                <c:ptCount val="1"/>
                <c:pt idx="0">
                  <c:v>MSC (£/MWh)</c:v>
                </c:pt>
              </c:strCache>
            </c:strRef>
          </c:tx>
          <c:spPr>
            <a:ln w="19050" cap="rnd">
              <a:solidFill>
                <a:schemeClr val="accent3"/>
              </a:solidFill>
              <a:round/>
            </a:ln>
            <a:effectLst/>
          </c:spPr>
          <c:marker>
            <c:symbol val="none"/>
          </c:marker>
          <c:xVal>
            <c:numRef>
              <c:f>'Elec Mkt Stabilisation Charge'!$C$5:$C$129</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Mkt Stabilisation Charge'!$J$5:$J$129</c:f>
              <c:numCache>
                <c:formatCode>0.00</c:formatCode>
                <c:ptCount val="1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1.5355978760601228</c:v>
                </c:pt>
                <c:pt idx="34">
                  <c:v>1.5355978760601228</c:v>
                </c:pt>
                <c:pt idx="35">
                  <c:v>1.5355978760601228</c:v>
                </c:pt>
                <c:pt idx="36">
                  <c:v>1.5355978760601228</c:v>
                </c:pt>
                <c:pt idx="37">
                  <c:v>1.5355978760601228</c:v>
                </c:pt>
                <c:pt idx="38">
                  <c:v>9.850789407471451</c:v>
                </c:pt>
                <c:pt idx="39">
                  <c:v>9.850789407471451</c:v>
                </c:pt>
                <c:pt idx="40">
                  <c:v>10.311770142897874</c:v>
                </c:pt>
                <c:pt idx="41">
                  <c:v>14.048952885461212</c:v>
                </c:pt>
                <c:pt idx="42">
                  <c:v>14.048952885461212</c:v>
                </c:pt>
                <c:pt idx="43">
                  <c:v>14.048952885461212</c:v>
                </c:pt>
                <c:pt idx="44">
                  <c:v>14.048952885461212</c:v>
                </c:pt>
                <c:pt idx="45">
                  <c:v>14.048952885461212</c:v>
                </c:pt>
                <c:pt idx="46">
                  <c:v>22.349072713888358</c:v>
                </c:pt>
                <c:pt idx="47">
                  <c:v>22.349072713888358</c:v>
                </c:pt>
                <c:pt idx="48">
                  <c:v>22.349072713888358</c:v>
                </c:pt>
                <c:pt idx="49">
                  <c:v>22.349072713888358</c:v>
                </c:pt>
                <c:pt idx="50">
                  <c:v>22.349072713888358</c:v>
                </c:pt>
                <c:pt idx="51">
                  <c:v>31.170206448556407</c:v>
                </c:pt>
                <c:pt idx="52">
                  <c:v>31.170206448556407</c:v>
                </c:pt>
                <c:pt idx="53">
                  <c:v>31.170206448556407</c:v>
                </c:pt>
                <c:pt idx="54">
                  <c:v>31.170206448556407</c:v>
                </c:pt>
                <c:pt idx="55">
                  <c:v>31.170206448556407</c:v>
                </c:pt>
                <c:pt idx="56">
                  <c:v>39.29168766594011</c:v>
                </c:pt>
                <c:pt idx="57">
                  <c:v>39.29168766594011</c:v>
                </c:pt>
                <c:pt idx="58">
                  <c:v>39.29168766594011</c:v>
                </c:pt>
                <c:pt idx="59">
                  <c:v>39.29168766594011</c:v>
                </c:pt>
                <c:pt idx="60">
                  <c:v>40.599914346937872</c:v>
                </c:pt>
                <c:pt idx="61">
                  <c:v>48.337075301971161</c:v>
                </c:pt>
                <c:pt idx="62">
                  <c:v>48.337075301971161</c:v>
                </c:pt>
                <c:pt idx="63">
                  <c:v>48.337075301971161</c:v>
                </c:pt>
                <c:pt idx="64">
                  <c:v>48.337075301971161</c:v>
                </c:pt>
                <c:pt idx="65">
                  <c:v>48.337075301971161</c:v>
                </c:pt>
                <c:pt idx="66">
                  <c:v>55.480977976169335</c:v>
                </c:pt>
                <c:pt idx="67">
                  <c:v>55.480977976169335</c:v>
                </c:pt>
                <c:pt idx="68">
                  <c:v>55.480977976169335</c:v>
                </c:pt>
                <c:pt idx="69">
                  <c:v>55.480977976169335</c:v>
                </c:pt>
                <c:pt idx="70">
                  <c:v>55.480977976169335</c:v>
                </c:pt>
                <c:pt idx="71">
                  <c:v>62.08703771945887</c:v>
                </c:pt>
                <c:pt idx="72">
                  <c:v>62.08703771945887</c:v>
                </c:pt>
                <c:pt idx="73">
                  <c:v>62.087037719458877</c:v>
                </c:pt>
                <c:pt idx="74">
                  <c:v>62.087037719458877</c:v>
                </c:pt>
                <c:pt idx="75">
                  <c:v>62.087037719458877</c:v>
                </c:pt>
                <c:pt idx="76">
                  <c:v>68.347917599613041</c:v>
                </c:pt>
                <c:pt idx="77">
                  <c:v>68.347917599613027</c:v>
                </c:pt>
                <c:pt idx="78">
                  <c:v>68.347917599613027</c:v>
                </c:pt>
                <c:pt idx="79">
                  <c:v>68.347917599613041</c:v>
                </c:pt>
                <c:pt idx="80">
                  <c:v>68.347917599613041</c:v>
                </c:pt>
                <c:pt idx="81">
                  <c:v>77.196136945670247</c:v>
                </c:pt>
                <c:pt idx="82">
                  <c:v>77.196136945670233</c:v>
                </c:pt>
                <c:pt idx="83">
                  <c:v>77.196136945670233</c:v>
                </c:pt>
                <c:pt idx="84">
                  <c:v>77.196136945670233</c:v>
                </c:pt>
                <c:pt idx="85">
                  <c:v>77.196136945670247</c:v>
                </c:pt>
                <c:pt idx="86">
                  <c:v>84.683729042602224</c:v>
                </c:pt>
                <c:pt idx="87">
                  <c:v>84.683729042602224</c:v>
                </c:pt>
                <c:pt idx="88">
                  <c:v>84.683729042602224</c:v>
                </c:pt>
                <c:pt idx="89">
                  <c:v>84.683729042602224</c:v>
                </c:pt>
                <c:pt idx="90">
                  <c:v>84.683729042602224</c:v>
                </c:pt>
                <c:pt idx="91">
                  <c:v>85.545122140669093</c:v>
                </c:pt>
                <c:pt idx="92">
                  <c:v>85.545122140669093</c:v>
                </c:pt>
                <c:pt idx="93">
                  <c:v>85.545122140669093</c:v>
                </c:pt>
                <c:pt idx="94">
                  <c:v>85.545122140669079</c:v>
                </c:pt>
                <c:pt idx="95">
                  <c:v>85.545122140669079</c:v>
                </c:pt>
                <c:pt idx="96">
                  <c:v>85.998278003273256</c:v>
                </c:pt>
                <c:pt idx="97">
                  <c:v>85.998278003273256</c:v>
                </c:pt>
                <c:pt idx="98">
                  <c:v>85.998278003273256</c:v>
                </c:pt>
                <c:pt idx="99">
                  <c:v>85.998278003273256</c:v>
                </c:pt>
                <c:pt idx="100">
                  <c:v>85.998278003273256</c:v>
                </c:pt>
                <c:pt idx="101">
                  <c:v>84.597627810920457</c:v>
                </c:pt>
                <c:pt idx="102">
                  <c:v>84.597627810920457</c:v>
                </c:pt>
                <c:pt idx="103">
                  <c:v>85.562055258131011</c:v>
                </c:pt>
                <c:pt idx="104">
                  <c:v>85.562055258131011</c:v>
                </c:pt>
                <c:pt idx="105">
                  <c:v>90.408574696080024</c:v>
                </c:pt>
                <c:pt idx="106">
                  <c:v>90.408574696080024</c:v>
                </c:pt>
                <c:pt idx="107">
                  <c:v>90.408574696080024</c:v>
                </c:pt>
                <c:pt idx="108">
                  <c:v>90.408574696080024</c:v>
                </c:pt>
                <c:pt idx="109">
                  <c:v>90.408574696080024</c:v>
                </c:pt>
                <c:pt idx="110">
                  <c:v>96.631655418537918</c:v>
                </c:pt>
                <c:pt idx="111">
                  <c:v>96.631655418537918</c:v>
                </c:pt>
                <c:pt idx="112">
                  <c:v>96.631655418537918</c:v>
                </c:pt>
                <c:pt idx="113">
                  <c:v>96.631655418537918</c:v>
                </c:pt>
                <c:pt idx="114">
                  <c:v>96.631655418537918</c:v>
                </c:pt>
                <c:pt idx="115">
                  <c:v>104.44402089704501</c:v>
                </c:pt>
                <c:pt idx="116">
                  <c:v>104.44402089704502</c:v>
                </c:pt>
                <c:pt idx="117">
                  <c:v>104.44402089704502</c:v>
                </c:pt>
                <c:pt idx="118">
                  <c:v>104.44402089704502</c:v>
                </c:pt>
                <c:pt idx="119">
                  <c:v>104.44402089704502</c:v>
                </c:pt>
                <c:pt idx="120">
                  <c:v>99.526157159621405</c:v>
                </c:pt>
                <c:pt idx="121">
                  <c:v>99.526157159621405</c:v>
                </c:pt>
                <c:pt idx="122">
                  <c:v>99.52615715962142</c:v>
                </c:pt>
                <c:pt idx="123">
                  <c:v>99.52615715962142</c:v>
                </c:pt>
                <c:pt idx="124">
                  <c:v>99.52615715962142</c:v>
                </c:pt>
              </c:numCache>
            </c:numRef>
          </c:yVal>
          <c:smooth val="0"/>
          <c:extLst>
            <c:ext xmlns:c16="http://schemas.microsoft.com/office/drawing/2014/chart" uri="{C3380CC4-5D6E-409C-BE32-E72D297353CC}">
              <c16:uniqueId val="{00000001-FE20-4E98-8E70-43C657942A34}"/>
            </c:ext>
          </c:extLst>
        </c:ser>
        <c:dLbls>
          <c:showLegendKey val="0"/>
          <c:showVal val="0"/>
          <c:showCatName val="0"/>
          <c:showSerName val="0"/>
          <c:showPercent val="0"/>
          <c:showBubbleSize val="0"/>
        </c:dLbls>
        <c:axId val="1123252735"/>
        <c:axId val="1123250239"/>
      </c:scatterChart>
      <c:valAx>
        <c:axId val="460435008"/>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3760"/>
        <c:crosses val="autoZero"/>
        <c:crossBetween val="midCat"/>
        <c:majorUnit val="31"/>
      </c:valAx>
      <c:valAx>
        <c:axId val="460433760"/>
        <c:scaling>
          <c:orientation val="minMax"/>
        </c:scaling>
        <c:delete val="0"/>
        <c:axPos val="l"/>
        <c:majorGridlines>
          <c:spPr>
            <a:ln w="9525" cap="flat" cmpd="sng" algn="ctr">
              <a:solidFill>
                <a:schemeClr val="tx1">
                  <a:lumMod val="15000"/>
                  <a:lumOff val="85000"/>
                </a:schemeClr>
              </a:solidFill>
              <a:round/>
            </a:ln>
            <a:effectLst/>
          </c:spPr>
        </c:majorGridlines>
        <c:title>
          <c:tx>
            <c:strRef>
              <c:f>'Elec Calculations'!$B$35</c:f>
              <c:strCache>
                <c:ptCount val="1"/>
                <c:pt idx="0">
                  <c:v>Wholesale Electric cost £/MWh</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5008"/>
        <c:crosses val="autoZero"/>
        <c:crossBetween val="midCat"/>
      </c:valAx>
      <c:valAx>
        <c:axId val="11232502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Market Stabilisation</a:t>
                </a:r>
                <a:r>
                  <a:rPr lang="en-GB" baseline="0"/>
                  <a:t> Charge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3252735"/>
        <c:crosses val="max"/>
        <c:crossBetween val="midCat"/>
      </c:valAx>
      <c:valAx>
        <c:axId val="1123252735"/>
        <c:scaling>
          <c:orientation val="minMax"/>
        </c:scaling>
        <c:delete val="1"/>
        <c:axPos val="b"/>
        <c:numFmt formatCode="m/d/yyyy" sourceLinked="1"/>
        <c:majorTickMark val="out"/>
        <c:minorTickMark val="none"/>
        <c:tickLblPos val="nextTo"/>
        <c:crossAx val="11232502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Price cap index &amp; trigger point over time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Price cap index</c:v>
          </c:tx>
          <c:spPr>
            <a:ln w="19050" cap="rnd">
              <a:solidFill>
                <a:schemeClr val="accent1"/>
              </a:solidFill>
              <a:round/>
            </a:ln>
            <a:effectLst/>
          </c:spPr>
          <c:marker>
            <c:symbol val="none"/>
          </c:marker>
          <c:xVal>
            <c:numRef>
              <c:f>'Elec Wpc'!$D$22:$D$204</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'Elec Wpc'!$U$22:$U$204</c:f>
              <c:numCache>
                <c:formatCode>0.00</c:formatCode>
                <c:ptCount val="183"/>
                <c:pt idx="0">
                  <c:v>0</c:v>
                </c:pt>
                <c:pt idx="1">
                  <c:v>0</c:v>
                </c:pt>
                <c:pt idx="2">
                  <c:v>159.48739188216368</c:v>
                </c:pt>
                <c:pt idx="3">
                  <c:v>159.48739188216368</c:v>
                </c:pt>
                <c:pt idx="4">
                  <c:v>159.48739188216368</c:v>
                </c:pt>
                <c:pt idx="5">
                  <c:v>159.48739188216368</c:v>
                </c:pt>
                <c:pt idx="6">
                  <c:v>159.48739188216368</c:v>
                </c:pt>
                <c:pt idx="7">
                  <c:v>159.48739188216368</c:v>
                </c:pt>
                <c:pt idx="8">
                  <c:v>159.48739188216368</c:v>
                </c:pt>
                <c:pt idx="9">
                  <c:v>161.39543814889558</c:v>
                </c:pt>
                <c:pt idx="10">
                  <c:v>161.39543814889558</c:v>
                </c:pt>
                <c:pt idx="11">
                  <c:v>161.39543814889558</c:v>
                </c:pt>
                <c:pt idx="12">
                  <c:v>161.39543814889558</c:v>
                </c:pt>
                <c:pt idx="13">
                  <c:v>161.39543814889558</c:v>
                </c:pt>
                <c:pt idx="14">
                  <c:v>161.39543814889558</c:v>
                </c:pt>
                <c:pt idx="15">
                  <c:v>161.39543814889558</c:v>
                </c:pt>
                <c:pt idx="16">
                  <c:v>163.91290700221265</c:v>
                </c:pt>
                <c:pt idx="17">
                  <c:v>163.91290700221265</c:v>
                </c:pt>
                <c:pt idx="18">
                  <c:v>163.91290700221265</c:v>
                </c:pt>
                <c:pt idx="19">
                  <c:v>163.91290700221265</c:v>
                </c:pt>
                <c:pt idx="20">
                  <c:v>163.91290700221265</c:v>
                </c:pt>
                <c:pt idx="21">
                  <c:v>163.91290700221265</c:v>
                </c:pt>
                <c:pt idx="22">
                  <c:v>163.91290700221265</c:v>
                </c:pt>
                <c:pt idx="23">
                  <c:v>167.07350963007454</c:v>
                </c:pt>
                <c:pt idx="24">
                  <c:v>167.07350963007454</c:v>
                </c:pt>
                <c:pt idx="25">
                  <c:v>167.07350963007454</c:v>
                </c:pt>
                <c:pt idx="26">
                  <c:v>167.07350963007454</c:v>
                </c:pt>
                <c:pt idx="27">
                  <c:v>167.07350963007454</c:v>
                </c:pt>
                <c:pt idx="28">
                  <c:v>167.07350963007454</c:v>
                </c:pt>
                <c:pt idx="29">
                  <c:v>167.07350963007454</c:v>
                </c:pt>
                <c:pt idx="30">
                  <c:v>169.69351357699034</c:v>
                </c:pt>
                <c:pt idx="31">
                  <c:v>169.69351357699034</c:v>
                </c:pt>
                <c:pt idx="32">
                  <c:v>169.69351357699034</c:v>
                </c:pt>
                <c:pt idx="33">
                  <c:v>169.69351357699034</c:v>
                </c:pt>
                <c:pt idx="34">
                  <c:v>169.69351357699034</c:v>
                </c:pt>
                <c:pt idx="35">
                  <c:v>169.69351357699034</c:v>
                </c:pt>
                <c:pt idx="36">
                  <c:v>169.69351357699034</c:v>
                </c:pt>
                <c:pt idx="37">
                  <c:v>172.77493152291282</c:v>
                </c:pt>
                <c:pt idx="38">
                  <c:v>172.77493152291282</c:v>
                </c:pt>
                <c:pt idx="39">
                  <c:v>172.77493152291282</c:v>
                </c:pt>
                <c:pt idx="40">
                  <c:v>172.77493152291282</c:v>
                </c:pt>
                <c:pt idx="41">
                  <c:v>172.77493152291282</c:v>
                </c:pt>
                <c:pt idx="42">
                  <c:v>172.77493152291282</c:v>
                </c:pt>
                <c:pt idx="43">
                  <c:v>172.77493152291282</c:v>
                </c:pt>
                <c:pt idx="44">
                  <c:v>175.49914245133718</c:v>
                </c:pt>
                <c:pt idx="45">
                  <c:v>175.49914245133718</c:v>
                </c:pt>
                <c:pt idx="46">
                  <c:v>175.49914245133718</c:v>
                </c:pt>
                <c:pt idx="47">
                  <c:v>175.49914245133718</c:v>
                </c:pt>
                <c:pt idx="48">
                  <c:v>175.49914245133718</c:v>
                </c:pt>
                <c:pt idx="49">
                  <c:v>175.49914245133718</c:v>
                </c:pt>
                <c:pt idx="50">
                  <c:v>175.49914245133718</c:v>
                </c:pt>
                <c:pt idx="51">
                  <c:v>178.5293276458878</c:v>
                </c:pt>
                <c:pt idx="52">
                  <c:v>178.5293276458878</c:v>
                </c:pt>
                <c:pt idx="53">
                  <c:v>178.5293276458878</c:v>
                </c:pt>
                <c:pt idx="54">
                  <c:v>178.5293276458878</c:v>
                </c:pt>
                <c:pt idx="55">
                  <c:v>178.5293276458878</c:v>
                </c:pt>
                <c:pt idx="56">
                  <c:v>178.5293276458878</c:v>
                </c:pt>
                <c:pt idx="57">
                  <c:v>178.5293276458878</c:v>
                </c:pt>
                <c:pt idx="58">
                  <c:v>182.70208330092478</c:v>
                </c:pt>
                <c:pt idx="59">
                  <c:v>182.70208330092478</c:v>
                </c:pt>
                <c:pt idx="60">
                  <c:v>182.70208330092478</c:v>
                </c:pt>
                <c:pt idx="61">
                  <c:v>182.70208330092478</c:v>
                </c:pt>
                <c:pt idx="62">
                  <c:v>182.70208330092478</c:v>
                </c:pt>
                <c:pt idx="63">
                  <c:v>182.70208330092478</c:v>
                </c:pt>
                <c:pt idx="64">
                  <c:v>182.70208330092478</c:v>
                </c:pt>
                <c:pt idx="65">
                  <c:v>186.42451595694811</c:v>
                </c:pt>
                <c:pt idx="66">
                  <c:v>186.42451595694811</c:v>
                </c:pt>
                <c:pt idx="67">
                  <c:v>186.42451595694811</c:v>
                </c:pt>
                <c:pt idx="68">
                  <c:v>186.42451595694811</c:v>
                </c:pt>
                <c:pt idx="69">
                  <c:v>186.42451595694811</c:v>
                </c:pt>
                <c:pt idx="70">
                  <c:v>186.42451595694811</c:v>
                </c:pt>
                <c:pt idx="71">
                  <c:v>186.42451595694811</c:v>
                </c:pt>
                <c:pt idx="72">
                  <c:v>191.28999846739939</c:v>
                </c:pt>
                <c:pt idx="73">
                  <c:v>191.28999846739939</c:v>
                </c:pt>
                <c:pt idx="74">
                  <c:v>191.28999846739939</c:v>
                </c:pt>
                <c:pt idx="75">
                  <c:v>191.28999846739939</c:v>
                </c:pt>
                <c:pt idx="76">
                  <c:v>191.28999846739939</c:v>
                </c:pt>
                <c:pt idx="77">
                  <c:v>191.28999846739939</c:v>
                </c:pt>
                <c:pt idx="78">
                  <c:v>191.28999846739939</c:v>
                </c:pt>
                <c:pt idx="79">
                  <c:v>195.46166111780485</c:v>
                </c:pt>
                <c:pt idx="80">
                  <c:v>195.46166111780485</c:v>
                </c:pt>
                <c:pt idx="81">
                  <c:v>195.46166111780485</c:v>
                </c:pt>
                <c:pt idx="82">
                  <c:v>195.46166111780485</c:v>
                </c:pt>
                <c:pt idx="83">
                  <c:v>195.46166111780485</c:v>
                </c:pt>
                <c:pt idx="84">
                  <c:v>195.46166111780485</c:v>
                </c:pt>
                <c:pt idx="85">
                  <c:v>195.46166111780485</c:v>
                </c:pt>
                <c:pt idx="86">
                  <c:v>199.55486074864615</c:v>
                </c:pt>
                <c:pt idx="87">
                  <c:v>199.55486074864615</c:v>
                </c:pt>
                <c:pt idx="88">
                  <c:v>199.55486074864615</c:v>
                </c:pt>
                <c:pt idx="89">
                  <c:v>199.55486074864615</c:v>
                </c:pt>
                <c:pt idx="90">
                  <c:v>199.55486074864615</c:v>
                </c:pt>
                <c:pt idx="91">
                  <c:v>199.55486074864615</c:v>
                </c:pt>
                <c:pt idx="92">
                  <c:v>199.55486074864615</c:v>
                </c:pt>
                <c:pt idx="93">
                  <c:v>203.57179040978957</c:v>
                </c:pt>
                <c:pt idx="94">
                  <c:v>203.57179040978957</c:v>
                </c:pt>
                <c:pt idx="95">
                  <c:v>203.57179040978957</c:v>
                </c:pt>
                <c:pt idx="96">
                  <c:v>203.57179040978957</c:v>
                </c:pt>
                <c:pt idx="97">
                  <c:v>203.57179040978957</c:v>
                </c:pt>
                <c:pt idx="98">
                  <c:v>203.57179040978957</c:v>
                </c:pt>
                <c:pt idx="99">
                  <c:v>203.57179040978957</c:v>
                </c:pt>
                <c:pt idx="100">
                  <c:v>207.51456217725254</c:v>
                </c:pt>
                <c:pt idx="101">
                  <c:v>207.51456217725254</c:v>
                </c:pt>
                <c:pt idx="102">
                  <c:v>207.51456217725254</c:v>
                </c:pt>
                <c:pt idx="103">
                  <c:v>207.51456217725254</c:v>
                </c:pt>
                <c:pt idx="104">
                  <c:v>207.51456217725254</c:v>
                </c:pt>
                <c:pt idx="105">
                  <c:v>207.51456217725254</c:v>
                </c:pt>
                <c:pt idx="106">
                  <c:v>207.51456217725254</c:v>
                </c:pt>
                <c:pt idx="107">
                  <c:v>211.38521085627494</c:v>
                </c:pt>
                <c:pt idx="108">
                  <c:v>211.38521085627494</c:v>
                </c:pt>
                <c:pt idx="109">
                  <c:v>211.38521085627494</c:v>
                </c:pt>
                <c:pt idx="110">
                  <c:v>211.38521085627494</c:v>
                </c:pt>
                <c:pt idx="111">
                  <c:v>211.38521085627494</c:v>
                </c:pt>
                <c:pt idx="112">
                  <c:v>211.38521085627494</c:v>
                </c:pt>
                <c:pt idx="113">
                  <c:v>211.38521085627494</c:v>
                </c:pt>
                <c:pt idx="114">
                  <c:v>215.18569748301434</c:v>
                </c:pt>
                <c:pt idx="115">
                  <c:v>215.18569748301434</c:v>
                </c:pt>
                <c:pt idx="116">
                  <c:v>215.18569748301434</c:v>
                </c:pt>
                <c:pt idx="117">
                  <c:v>215.18569748301434</c:v>
                </c:pt>
                <c:pt idx="118">
                  <c:v>215.18569748301434</c:v>
                </c:pt>
                <c:pt idx="119">
                  <c:v>215.18569748301434</c:v>
                </c:pt>
                <c:pt idx="120">
                  <c:v>215.18569748301434</c:v>
                </c:pt>
                <c:pt idx="121">
                  <c:v>218.91791263752694</c:v>
                </c:pt>
                <c:pt idx="122">
                  <c:v>218.91791263752694</c:v>
                </c:pt>
                <c:pt idx="123">
                  <c:v>218.91791263752694</c:v>
                </c:pt>
                <c:pt idx="124">
                  <c:v>218.91791263752694</c:v>
                </c:pt>
                <c:pt idx="125">
                  <c:v>218.91791263752694</c:v>
                </c:pt>
                <c:pt idx="126">
                  <c:v>218.91791263752694</c:v>
                </c:pt>
                <c:pt idx="127">
                  <c:v>218.91791263752694</c:v>
                </c:pt>
                <c:pt idx="128">
                  <c:v>222.58367957979289</c:v>
                </c:pt>
                <c:pt idx="129">
                  <c:v>222.58367957979289</c:v>
                </c:pt>
                <c:pt idx="130">
                  <c:v>222.58367957979289</c:v>
                </c:pt>
                <c:pt idx="131">
                  <c:v>222.58367957979289</c:v>
                </c:pt>
                <c:pt idx="132">
                  <c:v>222.58367957979289</c:v>
                </c:pt>
                <c:pt idx="133">
                  <c:v>222.58367957979289</c:v>
                </c:pt>
                <c:pt idx="134">
                  <c:v>222.58367957979289</c:v>
                </c:pt>
                <c:pt idx="135">
                  <c:v>226.18475721971703</c:v>
                </c:pt>
                <c:pt idx="136">
                  <c:v>226.18475721971703</c:v>
                </c:pt>
                <c:pt idx="137">
                  <c:v>226.18475721971703</c:v>
                </c:pt>
                <c:pt idx="138">
                  <c:v>226.18475721971703</c:v>
                </c:pt>
                <c:pt idx="139">
                  <c:v>226.18475721971703</c:v>
                </c:pt>
                <c:pt idx="140">
                  <c:v>226.18475721971703</c:v>
                </c:pt>
                <c:pt idx="141">
                  <c:v>226.18475721971703</c:v>
                </c:pt>
                <c:pt idx="142">
                  <c:v>229.72284293126881</c:v>
                </c:pt>
                <c:pt idx="143">
                  <c:v>229.72284293126881</c:v>
                </c:pt>
                <c:pt idx="144">
                  <c:v>229.72284293126881</c:v>
                </c:pt>
                <c:pt idx="145">
                  <c:v>229.72284293126881</c:v>
                </c:pt>
                <c:pt idx="146">
                  <c:v>229.72284293126881</c:v>
                </c:pt>
                <c:pt idx="147">
                  <c:v>229.72284293126881</c:v>
                </c:pt>
                <c:pt idx="148">
                  <c:v>229.72284293126881</c:v>
                </c:pt>
                <c:pt idx="149">
                  <c:v>233.19957522022167</c:v>
                </c:pt>
                <c:pt idx="150">
                  <c:v>233.19957522022167</c:v>
                </c:pt>
                <c:pt idx="151">
                  <c:v>233.19957522022167</c:v>
                </c:pt>
                <c:pt idx="152">
                  <c:v>233.19957522022167</c:v>
                </c:pt>
                <c:pt idx="153">
                  <c:v>233.19957522022167</c:v>
                </c:pt>
                <c:pt idx="154">
                  <c:v>233.19957522022167</c:v>
                </c:pt>
                <c:pt idx="155">
                  <c:v>233.19957522022167</c:v>
                </c:pt>
                <c:pt idx="156">
                  <c:v>236.65117723323385</c:v>
                </c:pt>
                <c:pt idx="157">
                  <c:v>236.65117723323385</c:v>
                </c:pt>
                <c:pt idx="158">
                  <c:v>236.65117723323385</c:v>
                </c:pt>
                <c:pt idx="159">
                  <c:v>236.65117723323385</c:v>
                </c:pt>
                <c:pt idx="160">
                  <c:v>236.65117723323385</c:v>
                </c:pt>
                <c:pt idx="161">
                  <c:v>236.65117723323385</c:v>
                </c:pt>
                <c:pt idx="162">
                  <c:v>236.65117723323385</c:v>
                </c:pt>
                <c:pt idx="163">
                  <c:v>238.06052213981957</c:v>
                </c:pt>
                <c:pt idx="164">
                  <c:v>238.06052213981957</c:v>
                </c:pt>
                <c:pt idx="165">
                  <c:v>238.06052213981957</c:v>
                </c:pt>
                <c:pt idx="166">
                  <c:v>238.06052213981957</c:v>
                </c:pt>
                <c:pt idx="167">
                  <c:v>238.06052213981957</c:v>
                </c:pt>
                <c:pt idx="168">
                  <c:v>238.06052213981957</c:v>
                </c:pt>
                <c:pt idx="169">
                  <c:v>238.06052213981957</c:v>
                </c:pt>
                <c:pt idx="170">
                  <c:v>239.50331949542766</c:v>
                </c:pt>
                <c:pt idx="171">
                  <c:v>239.50331949542766</c:v>
                </c:pt>
                <c:pt idx="172">
                  <c:v>239.50331949542766</c:v>
                </c:pt>
                <c:pt idx="173">
                  <c:v>239.50331949542766</c:v>
                </c:pt>
                <c:pt idx="174">
                  <c:v>239.50331949542766</c:v>
                </c:pt>
                <c:pt idx="175">
                  <c:v>239.50331949542766</c:v>
                </c:pt>
                <c:pt idx="176">
                  <c:v>239.50331949542766</c:v>
                </c:pt>
                <c:pt idx="177">
                  <c:v>240.94611685103573</c:v>
                </c:pt>
                <c:pt idx="178">
                  <c:v>240.94611685103573</c:v>
                </c:pt>
                <c:pt idx="179">
                  <c:v>240.94611685103573</c:v>
                </c:pt>
                <c:pt idx="180">
                  <c:v>240.94611685103573</c:v>
                </c:pt>
                <c:pt idx="181">
                  <c:v>240.94611685103573</c:v>
                </c:pt>
                <c:pt idx="182">
                  <c:v>240.94611685103573</c:v>
                </c:pt>
              </c:numCache>
            </c:numRef>
          </c:yVal>
          <c:smooth val="0"/>
          <c:extLst>
            <c:ext xmlns:c16="http://schemas.microsoft.com/office/drawing/2014/chart" uri="{C3380CC4-5D6E-409C-BE32-E72D297353CC}">
              <c16:uniqueId val="{00000000-968A-495E-9A92-622504417B97}"/>
            </c:ext>
          </c:extLst>
        </c:ser>
        <c:ser>
          <c:idx val="1"/>
          <c:order val="1"/>
          <c:tx>
            <c:v>Trigger point</c:v>
          </c:tx>
          <c:spPr>
            <a:ln w="19050" cap="rnd">
              <a:solidFill>
                <a:schemeClr val="accent2"/>
              </a:solidFill>
              <a:round/>
            </a:ln>
            <a:effectLst/>
          </c:spPr>
          <c:marker>
            <c:symbol val="none"/>
          </c:marker>
          <c:xVal>
            <c:numRef>
              <c:f>'Elec Wpc'!$D$22:$D$204</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'Elec Wpc'!$V$22:$V$204</c:f>
              <c:numCache>
                <c:formatCode>0.00</c:formatCode>
                <c:ptCount val="183"/>
                <c:pt idx="0">
                  <c:v>0</c:v>
                </c:pt>
                <c:pt idx="1">
                  <c:v>0</c:v>
                </c:pt>
                <c:pt idx="2">
                  <c:v>143.53865269394731</c:v>
                </c:pt>
                <c:pt idx="3">
                  <c:v>143.53865269394731</c:v>
                </c:pt>
                <c:pt idx="4">
                  <c:v>143.53865269394731</c:v>
                </c:pt>
                <c:pt idx="5">
                  <c:v>143.53865269394731</c:v>
                </c:pt>
                <c:pt idx="6">
                  <c:v>143.53865269394731</c:v>
                </c:pt>
                <c:pt idx="7">
                  <c:v>143.53865269394731</c:v>
                </c:pt>
                <c:pt idx="8">
                  <c:v>143.53865269394731</c:v>
                </c:pt>
                <c:pt idx="9">
                  <c:v>145.25589433400603</c:v>
                </c:pt>
                <c:pt idx="10">
                  <c:v>145.25589433400603</c:v>
                </c:pt>
                <c:pt idx="11">
                  <c:v>145.25589433400603</c:v>
                </c:pt>
                <c:pt idx="12">
                  <c:v>145.25589433400603</c:v>
                </c:pt>
                <c:pt idx="13">
                  <c:v>145.25589433400603</c:v>
                </c:pt>
                <c:pt idx="14">
                  <c:v>145.25589433400603</c:v>
                </c:pt>
                <c:pt idx="15">
                  <c:v>145.25589433400603</c:v>
                </c:pt>
                <c:pt idx="16">
                  <c:v>147.52161630199137</c:v>
                </c:pt>
                <c:pt idx="17">
                  <c:v>147.52161630199137</c:v>
                </c:pt>
                <c:pt idx="18">
                  <c:v>147.52161630199137</c:v>
                </c:pt>
                <c:pt idx="19">
                  <c:v>147.52161630199137</c:v>
                </c:pt>
                <c:pt idx="20">
                  <c:v>147.52161630199137</c:v>
                </c:pt>
                <c:pt idx="21">
                  <c:v>147.52161630199137</c:v>
                </c:pt>
                <c:pt idx="22">
                  <c:v>147.52161630199137</c:v>
                </c:pt>
                <c:pt idx="23">
                  <c:v>150.36615866706708</c:v>
                </c:pt>
                <c:pt idx="24">
                  <c:v>150.36615866706708</c:v>
                </c:pt>
                <c:pt idx="25">
                  <c:v>150.36615866706708</c:v>
                </c:pt>
                <c:pt idx="26">
                  <c:v>150.36615866706708</c:v>
                </c:pt>
                <c:pt idx="27">
                  <c:v>150.36615866706708</c:v>
                </c:pt>
                <c:pt idx="28">
                  <c:v>150.36615866706708</c:v>
                </c:pt>
                <c:pt idx="29">
                  <c:v>150.36615866706708</c:v>
                </c:pt>
                <c:pt idx="30">
                  <c:v>152.72416221929134</c:v>
                </c:pt>
                <c:pt idx="31">
                  <c:v>152.72416221929134</c:v>
                </c:pt>
                <c:pt idx="32">
                  <c:v>152.72416221929134</c:v>
                </c:pt>
                <c:pt idx="33">
                  <c:v>152.72416221929134</c:v>
                </c:pt>
                <c:pt idx="34">
                  <c:v>152.72416221929134</c:v>
                </c:pt>
                <c:pt idx="35">
                  <c:v>152.72416221929134</c:v>
                </c:pt>
                <c:pt idx="36">
                  <c:v>152.72416221929134</c:v>
                </c:pt>
                <c:pt idx="37">
                  <c:v>155.49743837062155</c:v>
                </c:pt>
                <c:pt idx="38">
                  <c:v>155.49743837062155</c:v>
                </c:pt>
                <c:pt idx="39">
                  <c:v>155.49743837062155</c:v>
                </c:pt>
                <c:pt idx="40">
                  <c:v>155.49743837062155</c:v>
                </c:pt>
                <c:pt idx="41">
                  <c:v>155.49743837062155</c:v>
                </c:pt>
                <c:pt idx="42">
                  <c:v>155.49743837062155</c:v>
                </c:pt>
                <c:pt idx="43">
                  <c:v>155.49743837062155</c:v>
                </c:pt>
                <c:pt idx="44">
                  <c:v>157.94922820620346</c:v>
                </c:pt>
                <c:pt idx="45">
                  <c:v>157.94922820620346</c:v>
                </c:pt>
                <c:pt idx="46">
                  <c:v>157.94922820620346</c:v>
                </c:pt>
                <c:pt idx="47">
                  <c:v>157.94922820620346</c:v>
                </c:pt>
                <c:pt idx="48">
                  <c:v>157.94922820620346</c:v>
                </c:pt>
                <c:pt idx="49">
                  <c:v>157.94922820620346</c:v>
                </c:pt>
                <c:pt idx="50">
                  <c:v>157.94922820620346</c:v>
                </c:pt>
                <c:pt idx="51">
                  <c:v>160.67639488129905</c:v>
                </c:pt>
                <c:pt idx="52">
                  <c:v>160.67639488129905</c:v>
                </c:pt>
                <c:pt idx="53">
                  <c:v>160.67639488129905</c:v>
                </c:pt>
                <c:pt idx="54">
                  <c:v>160.67639488129905</c:v>
                </c:pt>
                <c:pt idx="55">
                  <c:v>160.67639488129905</c:v>
                </c:pt>
                <c:pt idx="56">
                  <c:v>160.67639488129905</c:v>
                </c:pt>
                <c:pt idx="57">
                  <c:v>160.67639488129905</c:v>
                </c:pt>
                <c:pt idx="58">
                  <c:v>164.43187497083233</c:v>
                </c:pt>
                <c:pt idx="59">
                  <c:v>164.43187497083233</c:v>
                </c:pt>
                <c:pt idx="60">
                  <c:v>164.43187497083233</c:v>
                </c:pt>
                <c:pt idx="61">
                  <c:v>164.43187497083233</c:v>
                </c:pt>
                <c:pt idx="62">
                  <c:v>164.43187497083233</c:v>
                </c:pt>
                <c:pt idx="63">
                  <c:v>164.43187497083233</c:v>
                </c:pt>
                <c:pt idx="64">
                  <c:v>164.43187497083233</c:v>
                </c:pt>
                <c:pt idx="65">
                  <c:v>167.78206436125333</c:v>
                </c:pt>
                <c:pt idx="66">
                  <c:v>167.78206436125333</c:v>
                </c:pt>
                <c:pt idx="67">
                  <c:v>167.78206436125333</c:v>
                </c:pt>
                <c:pt idx="68">
                  <c:v>167.78206436125333</c:v>
                </c:pt>
                <c:pt idx="69">
                  <c:v>167.78206436125333</c:v>
                </c:pt>
                <c:pt idx="70">
                  <c:v>167.78206436125333</c:v>
                </c:pt>
                <c:pt idx="71">
                  <c:v>167.78206436125333</c:v>
                </c:pt>
                <c:pt idx="72">
                  <c:v>172.16099862065948</c:v>
                </c:pt>
                <c:pt idx="73">
                  <c:v>172.16099862065948</c:v>
                </c:pt>
                <c:pt idx="74">
                  <c:v>172.16099862065948</c:v>
                </c:pt>
                <c:pt idx="75">
                  <c:v>172.16099862065948</c:v>
                </c:pt>
                <c:pt idx="76">
                  <c:v>172.16099862065948</c:v>
                </c:pt>
                <c:pt idx="77">
                  <c:v>172.16099862065948</c:v>
                </c:pt>
                <c:pt idx="78">
                  <c:v>172.16099862065948</c:v>
                </c:pt>
                <c:pt idx="79">
                  <c:v>175.91549500602437</c:v>
                </c:pt>
                <c:pt idx="80">
                  <c:v>175.91549500602437</c:v>
                </c:pt>
                <c:pt idx="81">
                  <c:v>175.91549500602437</c:v>
                </c:pt>
                <c:pt idx="82">
                  <c:v>175.91549500602437</c:v>
                </c:pt>
                <c:pt idx="83">
                  <c:v>175.91549500602437</c:v>
                </c:pt>
                <c:pt idx="84">
                  <c:v>175.91549500602437</c:v>
                </c:pt>
                <c:pt idx="85">
                  <c:v>175.91549500602437</c:v>
                </c:pt>
                <c:pt idx="86">
                  <c:v>179.59937467378151</c:v>
                </c:pt>
                <c:pt idx="87">
                  <c:v>179.59937467378151</c:v>
                </c:pt>
                <c:pt idx="88">
                  <c:v>179.59937467378151</c:v>
                </c:pt>
                <c:pt idx="89">
                  <c:v>179.59937467378151</c:v>
                </c:pt>
                <c:pt idx="90">
                  <c:v>179.59937467378151</c:v>
                </c:pt>
                <c:pt idx="91">
                  <c:v>179.59937467378151</c:v>
                </c:pt>
                <c:pt idx="92">
                  <c:v>179.59937467378151</c:v>
                </c:pt>
                <c:pt idx="93">
                  <c:v>183.21461136881061</c:v>
                </c:pt>
                <c:pt idx="94">
                  <c:v>183.21461136881061</c:v>
                </c:pt>
                <c:pt idx="95">
                  <c:v>183.21461136881061</c:v>
                </c:pt>
                <c:pt idx="96">
                  <c:v>183.21461136881061</c:v>
                </c:pt>
                <c:pt idx="97">
                  <c:v>183.21461136881061</c:v>
                </c:pt>
                <c:pt idx="98">
                  <c:v>183.21461136881061</c:v>
                </c:pt>
                <c:pt idx="99">
                  <c:v>183.21461136881061</c:v>
                </c:pt>
                <c:pt idx="100">
                  <c:v>186.76310595952728</c:v>
                </c:pt>
                <c:pt idx="101">
                  <c:v>186.76310595952728</c:v>
                </c:pt>
                <c:pt idx="102">
                  <c:v>186.76310595952728</c:v>
                </c:pt>
                <c:pt idx="103">
                  <c:v>186.76310595952728</c:v>
                </c:pt>
                <c:pt idx="104">
                  <c:v>186.76310595952728</c:v>
                </c:pt>
                <c:pt idx="105">
                  <c:v>186.76310595952728</c:v>
                </c:pt>
                <c:pt idx="106">
                  <c:v>186.76310595952728</c:v>
                </c:pt>
                <c:pt idx="107">
                  <c:v>190.24668977064744</c:v>
                </c:pt>
                <c:pt idx="108">
                  <c:v>190.24668977064744</c:v>
                </c:pt>
                <c:pt idx="109">
                  <c:v>190.24668977064744</c:v>
                </c:pt>
                <c:pt idx="110">
                  <c:v>190.24668977064744</c:v>
                </c:pt>
                <c:pt idx="111">
                  <c:v>190.24668977064744</c:v>
                </c:pt>
                <c:pt idx="112">
                  <c:v>190.24668977064744</c:v>
                </c:pt>
                <c:pt idx="113">
                  <c:v>190.24668977064744</c:v>
                </c:pt>
                <c:pt idx="114">
                  <c:v>193.66712773471292</c:v>
                </c:pt>
                <c:pt idx="115">
                  <c:v>193.66712773471292</c:v>
                </c:pt>
                <c:pt idx="116">
                  <c:v>193.66712773471292</c:v>
                </c:pt>
                <c:pt idx="117">
                  <c:v>193.66712773471292</c:v>
                </c:pt>
                <c:pt idx="118">
                  <c:v>193.66712773471292</c:v>
                </c:pt>
                <c:pt idx="119">
                  <c:v>193.66712773471292</c:v>
                </c:pt>
                <c:pt idx="120">
                  <c:v>193.66712773471292</c:v>
                </c:pt>
                <c:pt idx="121">
                  <c:v>197.02612137377426</c:v>
                </c:pt>
                <c:pt idx="122">
                  <c:v>197.02612137377426</c:v>
                </c:pt>
                <c:pt idx="123">
                  <c:v>197.02612137377426</c:v>
                </c:pt>
                <c:pt idx="124">
                  <c:v>197.02612137377426</c:v>
                </c:pt>
                <c:pt idx="125">
                  <c:v>197.02612137377426</c:v>
                </c:pt>
                <c:pt idx="126">
                  <c:v>197.02612137377426</c:v>
                </c:pt>
                <c:pt idx="127">
                  <c:v>197.02612137377426</c:v>
                </c:pt>
                <c:pt idx="128">
                  <c:v>200.32531162181357</c:v>
                </c:pt>
                <c:pt idx="129">
                  <c:v>200.32531162181357</c:v>
                </c:pt>
                <c:pt idx="130">
                  <c:v>200.32531162181357</c:v>
                </c:pt>
                <c:pt idx="131">
                  <c:v>200.32531162181357</c:v>
                </c:pt>
                <c:pt idx="132">
                  <c:v>200.32531162181357</c:v>
                </c:pt>
                <c:pt idx="133">
                  <c:v>200.32531162181357</c:v>
                </c:pt>
                <c:pt idx="134">
                  <c:v>200.32531162181357</c:v>
                </c:pt>
                <c:pt idx="135">
                  <c:v>203.56628149774534</c:v>
                </c:pt>
                <c:pt idx="136">
                  <c:v>203.56628149774534</c:v>
                </c:pt>
                <c:pt idx="137">
                  <c:v>203.56628149774534</c:v>
                </c:pt>
                <c:pt idx="138">
                  <c:v>203.56628149774534</c:v>
                </c:pt>
                <c:pt idx="139">
                  <c:v>203.56628149774534</c:v>
                </c:pt>
                <c:pt idx="140">
                  <c:v>203.56628149774534</c:v>
                </c:pt>
                <c:pt idx="141">
                  <c:v>203.56628149774534</c:v>
                </c:pt>
                <c:pt idx="142">
                  <c:v>206.75055863814191</c:v>
                </c:pt>
                <c:pt idx="143">
                  <c:v>206.75055863814191</c:v>
                </c:pt>
                <c:pt idx="144">
                  <c:v>206.75055863814191</c:v>
                </c:pt>
                <c:pt idx="145">
                  <c:v>206.75055863814191</c:v>
                </c:pt>
                <c:pt idx="146">
                  <c:v>206.75055863814191</c:v>
                </c:pt>
                <c:pt idx="147">
                  <c:v>206.75055863814191</c:v>
                </c:pt>
                <c:pt idx="148">
                  <c:v>206.75055863814191</c:v>
                </c:pt>
                <c:pt idx="149">
                  <c:v>209.87961769819952</c:v>
                </c:pt>
                <c:pt idx="150">
                  <c:v>209.87961769819952</c:v>
                </c:pt>
                <c:pt idx="151">
                  <c:v>209.87961769819952</c:v>
                </c:pt>
                <c:pt idx="152">
                  <c:v>209.87961769819952</c:v>
                </c:pt>
                <c:pt idx="153">
                  <c:v>209.87961769819952</c:v>
                </c:pt>
                <c:pt idx="154">
                  <c:v>209.87961769819952</c:v>
                </c:pt>
                <c:pt idx="155">
                  <c:v>209.87961769819952</c:v>
                </c:pt>
                <c:pt idx="156">
                  <c:v>212.98605950991049</c:v>
                </c:pt>
                <c:pt idx="157">
                  <c:v>212.98605950991049</c:v>
                </c:pt>
                <c:pt idx="158">
                  <c:v>212.98605950991049</c:v>
                </c:pt>
                <c:pt idx="159">
                  <c:v>212.98605950991049</c:v>
                </c:pt>
                <c:pt idx="160">
                  <c:v>212.98605950991049</c:v>
                </c:pt>
                <c:pt idx="161">
                  <c:v>212.98605950991049</c:v>
                </c:pt>
                <c:pt idx="162">
                  <c:v>212.98605950991049</c:v>
                </c:pt>
                <c:pt idx="163">
                  <c:v>214.25446992583761</c:v>
                </c:pt>
                <c:pt idx="164">
                  <c:v>214.25446992583761</c:v>
                </c:pt>
                <c:pt idx="165">
                  <c:v>214.25446992583761</c:v>
                </c:pt>
                <c:pt idx="166">
                  <c:v>214.25446992583761</c:v>
                </c:pt>
                <c:pt idx="167">
                  <c:v>214.25446992583761</c:v>
                </c:pt>
                <c:pt idx="168">
                  <c:v>214.25446992583761</c:v>
                </c:pt>
                <c:pt idx="169">
                  <c:v>214.25446992583761</c:v>
                </c:pt>
                <c:pt idx="170">
                  <c:v>215.55298754588489</c:v>
                </c:pt>
                <c:pt idx="171">
                  <c:v>215.55298754588489</c:v>
                </c:pt>
                <c:pt idx="172">
                  <c:v>215.55298754588489</c:v>
                </c:pt>
                <c:pt idx="173">
                  <c:v>215.55298754588489</c:v>
                </c:pt>
                <c:pt idx="174">
                  <c:v>215.55298754588489</c:v>
                </c:pt>
                <c:pt idx="175">
                  <c:v>215.55298754588489</c:v>
                </c:pt>
                <c:pt idx="176">
                  <c:v>215.55298754588489</c:v>
                </c:pt>
                <c:pt idx="177">
                  <c:v>216.85150516593217</c:v>
                </c:pt>
                <c:pt idx="178">
                  <c:v>216.85150516593217</c:v>
                </c:pt>
                <c:pt idx="179">
                  <c:v>216.85150516593217</c:v>
                </c:pt>
                <c:pt idx="180">
                  <c:v>216.85150516593217</c:v>
                </c:pt>
                <c:pt idx="181">
                  <c:v>216.85150516593217</c:v>
                </c:pt>
                <c:pt idx="182">
                  <c:v>216.85150516593217</c:v>
                </c:pt>
              </c:numCache>
            </c:numRef>
          </c:yVal>
          <c:smooth val="0"/>
          <c:extLst>
            <c:ext xmlns:c16="http://schemas.microsoft.com/office/drawing/2014/chart" uri="{C3380CC4-5D6E-409C-BE32-E72D297353CC}">
              <c16:uniqueId val="{00000001-968A-495E-9A92-622504417B97}"/>
            </c:ext>
          </c:extLst>
        </c:ser>
        <c:dLbls>
          <c:showLegendKey val="0"/>
          <c:showVal val="0"/>
          <c:showCatName val="0"/>
          <c:showSerName val="0"/>
          <c:showPercent val="0"/>
          <c:showBubbleSize val="0"/>
        </c:dLbls>
        <c:axId val="460435008"/>
        <c:axId val="460433760"/>
      </c:scatterChart>
      <c:valAx>
        <c:axId val="460435008"/>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3760"/>
        <c:crosses val="autoZero"/>
        <c:crossBetween val="midCat"/>
        <c:majorUnit val="31"/>
      </c:valAx>
      <c:valAx>
        <c:axId val="460433760"/>
        <c:scaling>
          <c:orientation val="minMax"/>
        </c:scaling>
        <c:delete val="0"/>
        <c:axPos val="l"/>
        <c:majorGridlines>
          <c:spPr>
            <a:ln w="9525" cap="flat" cmpd="sng" algn="ctr">
              <a:solidFill>
                <a:schemeClr val="tx1">
                  <a:lumMod val="15000"/>
                  <a:lumOff val="85000"/>
                </a:schemeClr>
              </a:solidFill>
              <a:round/>
            </a:ln>
            <a:effectLst/>
          </c:spPr>
        </c:majorGridlines>
        <c:title>
          <c:tx>
            <c:strRef>
              <c:f>'Elec Calculations'!$B$34</c:f>
              <c:strCache>
                <c:ptCount val="1"/>
                <c:pt idx="0">
                  <c:v>Price cap index Electric £/MWh</c:v>
                </c:pt>
              </c:strCache>
            </c:strRef>
          </c:tx>
          <c:overlay val="0"/>
          <c:spPr>
            <a:noFill/>
            <a:ln>
              <a:solidFill>
                <a:schemeClr val="accent1">
                  <a:alpha val="95000"/>
                </a:schemeClr>
              </a:solid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50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MSC wholesale cost</a:t>
            </a:r>
            <a:r>
              <a:rPr lang="en-GB" sz="1800" baseline="0"/>
              <a:t> value vs. forward prices</a:t>
            </a:r>
            <a:endParaRPr lang="en-GB"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'Elec Wc'!$S$22</c:f>
              <c:strCache>
                <c:ptCount val="1"/>
                <c:pt idx="0">
                  <c:v>Wn</c:v>
                </c:pt>
              </c:strCache>
            </c:strRef>
          </c:tx>
          <c:spPr>
            <a:ln w="19050" cap="rnd">
              <a:solidFill>
                <a:schemeClr val="accent1"/>
              </a:solidFill>
              <a:round/>
            </a:ln>
            <a:effectLst/>
          </c:spPr>
          <c:marker>
            <c:symbol val="none"/>
          </c:marker>
          <c:xVal>
            <c:numRef>
              <c:f>'Elec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Wc'!$S$23:$S$147</c:f>
              <c:numCache>
                <c:formatCode>0.0</c:formatCode>
                <c:ptCount val="125"/>
                <c:pt idx="0">
                  <c:v>241.48249999999996</c:v>
                </c:pt>
                <c:pt idx="1">
                  <c:v>227.43199999999999</c:v>
                </c:pt>
                <c:pt idx="2">
                  <c:v>225.06400000000002</c:v>
                </c:pt>
                <c:pt idx="3">
                  <c:v>226.09100000000001</c:v>
                </c:pt>
                <c:pt idx="4">
                  <c:v>222.39099999999999</c:v>
                </c:pt>
                <c:pt idx="5">
                  <c:v>222.489</c:v>
                </c:pt>
                <c:pt idx="6">
                  <c:v>213.571</c:v>
                </c:pt>
                <c:pt idx="7">
                  <c:v>216.30899999999997</c:v>
                </c:pt>
                <c:pt idx="8">
                  <c:v>217.41300000000001</c:v>
                </c:pt>
                <c:pt idx="9">
                  <c:v>193.95399999999998</c:v>
                </c:pt>
                <c:pt idx="10">
                  <c:v>197.73399999999998</c:v>
                </c:pt>
                <c:pt idx="11">
                  <c:v>204.327</c:v>
                </c:pt>
                <c:pt idx="12">
                  <c:v>208.52599999999995</c:v>
                </c:pt>
                <c:pt idx="13">
                  <c:v>196.23199999999997</c:v>
                </c:pt>
                <c:pt idx="14">
                  <c:v>192.30735999999996</c:v>
                </c:pt>
                <c:pt idx="15">
                  <c:v>188.46121279999997</c:v>
                </c:pt>
                <c:pt idx="16">
                  <c:v>184.69198854399997</c:v>
                </c:pt>
                <c:pt idx="17">
                  <c:v>180.99814877311996</c:v>
                </c:pt>
                <c:pt idx="18">
                  <c:v>177.37818579765758</c:v>
                </c:pt>
                <c:pt idx="19">
                  <c:v>173.83062208170443</c:v>
                </c:pt>
                <c:pt idx="20">
                  <c:v>170.35400964007033</c:v>
                </c:pt>
                <c:pt idx="21">
                  <c:v>166.94692944726893</c:v>
                </c:pt>
                <c:pt idx="22">
                  <c:v>163.60799085832355</c:v>
                </c:pt>
                <c:pt idx="23">
                  <c:v>160.33583104115706</c:v>
                </c:pt>
                <c:pt idx="24">
                  <c:v>157.12911442033393</c:v>
                </c:pt>
                <c:pt idx="25">
                  <c:v>153.98653213192725</c:v>
                </c:pt>
                <c:pt idx="26">
                  <c:v>150.90680148928871</c:v>
                </c:pt>
                <c:pt idx="27">
                  <c:v>147.88866545950293</c:v>
                </c:pt>
                <c:pt idx="28">
                  <c:v>144.93089215031287</c:v>
                </c:pt>
                <c:pt idx="29">
                  <c:v>142.03227430730661</c:v>
                </c:pt>
                <c:pt idx="30">
                  <c:v>139.19162882116046</c:v>
                </c:pt>
                <c:pt idx="31">
                  <c:v>136.40779624473726</c:v>
                </c:pt>
                <c:pt idx="32">
                  <c:v>133.67964031984252</c:v>
                </c:pt>
                <c:pt idx="33">
                  <c:v>131.00604751344568</c:v>
                </c:pt>
                <c:pt idx="34">
                  <c:v>128.38592656317675</c:v>
                </c:pt>
                <c:pt idx="35">
                  <c:v>125.81820803191322</c:v>
                </c:pt>
                <c:pt idx="36">
                  <c:v>123.30184387127495</c:v>
                </c:pt>
                <c:pt idx="37">
                  <c:v>150.5</c:v>
                </c:pt>
                <c:pt idx="38">
                  <c:v>147.49</c:v>
                </c:pt>
                <c:pt idx="39">
                  <c:v>144.5402</c:v>
                </c:pt>
                <c:pt idx="40">
                  <c:v>141.649396</c:v>
                </c:pt>
                <c:pt idx="41">
                  <c:v>138.81640808</c:v>
                </c:pt>
                <c:pt idx="42">
                  <c:v>136.04007991840001</c:v>
                </c:pt>
                <c:pt idx="43">
                  <c:v>133.319278320032</c:v>
                </c:pt>
                <c:pt idx="44">
                  <c:v>130.65289275363136</c:v>
                </c:pt>
                <c:pt idx="45">
                  <c:v>128.03983489855872</c:v>
                </c:pt>
                <c:pt idx="46">
                  <c:v>125.47903820058755</c:v>
                </c:pt>
                <c:pt idx="47">
                  <c:v>122.96945743657581</c:v>
                </c:pt>
                <c:pt idx="48">
                  <c:v>120.51006828784429</c:v>
                </c:pt>
                <c:pt idx="49">
                  <c:v>118.0998669220874</c:v>
                </c:pt>
                <c:pt idx="50">
                  <c:v>115.73786958364565</c:v>
                </c:pt>
                <c:pt idx="51">
                  <c:v>113.42311219197273</c:v>
                </c:pt>
                <c:pt idx="52">
                  <c:v>111.15464994813328</c:v>
                </c:pt>
                <c:pt idx="53">
                  <c:v>108.93155694917061</c:v>
                </c:pt>
                <c:pt idx="54">
                  <c:v>106.75292581018721</c:v>
                </c:pt>
                <c:pt idx="55">
                  <c:v>104.61786729398347</c:v>
                </c:pt>
                <c:pt idx="56">
                  <c:v>102.5255099481038</c:v>
                </c:pt>
                <c:pt idx="57">
                  <c:v>100.47499974914173</c:v>
                </c:pt>
                <c:pt idx="58">
                  <c:v>98.465499754158898</c:v>
                </c:pt>
                <c:pt idx="59">
                  <c:v>96.496189759075719</c:v>
                </c:pt>
                <c:pt idx="60">
                  <c:v>94.56626596389421</c:v>
                </c:pt>
                <c:pt idx="61">
                  <c:v>92.674940644616328</c:v>
                </c:pt>
                <c:pt idx="62">
                  <c:v>90.821441831724002</c:v>
                </c:pt>
                <c:pt idx="63">
                  <c:v>89.005012995089515</c:v>
                </c:pt>
                <c:pt idx="64">
                  <c:v>87.224912735187729</c:v>
                </c:pt>
                <c:pt idx="65">
                  <c:v>85.480414480483972</c:v>
                </c:pt>
                <c:pt idx="66">
                  <c:v>83.770806190874296</c:v>
                </c:pt>
                <c:pt idx="67">
                  <c:v>82.095390067056812</c:v>
                </c:pt>
                <c:pt idx="68">
                  <c:v>80.453482265715678</c:v>
                </c:pt>
                <c:pt idx="69">
                  <c:v>78.844412620401371</c:v>
                </c:pt>
                <c:pt idx="70">
                  <c:v>77.267524367993346</c:v>
                </c:pt>
                <c:pt idx="71">
                  <c:v>75.722173880633477</c:v>
                </c:pt>
                <c:pt idx="72">
                  <c:v>74.207730403020804</c:v>
                </c:pt>
                <c:pt idx="73">
                  <c:v>72.723575794960382</c:v>
                </c:pt>
                <c:pt idx="74">
                  <c:v>71.269104279061168</c:v>
                </c:pt>
                <c:pt idx="75">
                  <c:v>60.8</c:v>
                </c:pt>
                <c:pt idx="76">
                  <c:v>59.583999999999996</c:v>
                </c:pt>
                <c:pt idx="77">
                  <c:v>58.392319999999998</c:v>
                </c:pt>
                <c:pt idx="78">
                  <c:v>57.224473599999996</c:v>
                </c:pt>
                <c:pt idx="79">
                  <c:v>56.079984128</c:v>
                </c:pt>
                <c:pt idx="80">
                  <c:v>54.958384445439997</c:v>
                </c:pt>
                <c:pt idx="81">
                  <c:v>53.859216756531197</c:v>
                </c:pt>
                <c:pt idx="82">
                  <c:v>52.782032421400572</c:v>
                </c:pt>
                <c:pt idx="83">
                  <c:v>51.726391772972562</c:v>
                </c:pt>
                <c:pt idx="84">
                  <c:v>50.691863937513112</c:v>
                </c:pt>
                <c:pt idx="85">
                  <c:v>49.678026658762853</c:v>
                </c:pt>
                <c:pt idx="86">
                  <c:v>48.684466125587598</c:v>
                </c:pt>
                <c:pt idx="87">
                  <c:v>47.710776803075845</c:v>
                </c:pt>
                <c:pt idx="88">
                  <c:v>46.756561267014327</c:v>
                </c:pt>
                <c:pt idx="89">
                  <c:v>45.821430041674041</c:v>
                </c:pt>
                <c:pt idx="90">
                  <c:v>44.905001440840557</c:v>
                </c:pt>
                <c:pt idx="91">
                  <c:v>44.006901412023744</c:v>
                </c:pt>
                <c:pt idx="92">
                  <c:v>43.12676338378327</c:v>
                </c:pt>
                <c:pt idx="93">
                  <c:v>42.264228116107603</c:v>
                </c:pt>
                <c:pt idx="94">
                  <c:v>41.418943553785454</c:v>
                </c:pt>
                <c:pt idx="95">
                  <c:v>40.590564682709747</c:v>
                </c:pt>
                <c:pt idx="96">
                  <c:v>39.778753389055552</c:v>
                </c:pt>
                <c:pt idx="97">
                  <c:v>38.983178321274444</c:v>
                </c:pt>
                <c:pt idx="98">
                  <c:v>38.203514754848953</c:v>
                </c:pt>
                <c:pt idx="99">
                  <c:v>37.439444459751975</c:v>
                </c:pt>
                <c:pt idx="100">
                  <c:v>36.690655570556935</c:v>
                </c:pt>
                <c:pt idx="101">
                  <c:v>35.956842459145797</c:v>
                </c:pt>
                <c:pt idx="102">
                  <c:v>35.23770560996288</c:v>
                </c:pt>
                <c:pt idx="103">
                  <c:v>34.532951497763619</c:v>
                </c:pt>
                <c:pt idx="104">
                  <c:v>33.842292467808349</c:v>
                </c:pt>
                <c:pt idx="105">
                  <c:v>33.165446618452179</c:v>
                </c:pt>
                <c:pt idx="106">
                  <c:v>32.502137686083138</c:v>
                </c:pt>
                <c:pt idx="107">
                  <c:v>45.9</c:v>
                </c:pt>
                <c:pt idx="108">
                  <c:v>44.981999999999999</c:v>
                </c:pt>
                <c:pt idx="109">
                  <c:v>44.082360000000001</c:v>
                </c:pt>
                <c:pt idx="110">
                  <c:v>43.200712799999998</c:v>
                </c:pt>
                <c:pt idx="111">
                  <c:v>42.336698544000001</c:v>
                </c:pt>
                <c:pt idx="112">
                  <c:v>41.489964573119998</c:v>
                </c:pt>
                <c:pt idx="113">
                  <c:v>40.660165281657598</c:v>
                </c:pt>
                <c:pt idx="114">
                  <c:v>39.846961976024446</c:v>
                </c:pt>
                <c:pt idx="115">
                  <c:v>39.050022736503955</c:v>
                </c:pt>
                <c:pt idx="116">
                  <c:v>38.269022281773879</c:v>
                </c:pt>
                <c:pt idx="117">
                  <c:v>39.200000000000003</c:v>
                </c:pt>
                <c:pt idx="118">
                  <c:v>38.416000000000004</c:v>
                </c:pt>
                <c:pt idx="119">
                  <c:v>37.647680000000001</c:v>
                </c:pt>
                <c:pt idx="120">
                  <c:v>36.894726400000003</c:v>
                </c:pt>
                <c:pt idx="121">
                  <c:v>35</c:v>
                </c:pt>
                <c:pt idx="122">
                  <c:v>34.299999999999997</c:v>
                </c:pt>
                <c:pt idx="123">
                  <c:v>33.613999999999997</c:v>
                </c:pt>
                <c:pt idx="124">
                  <c:v>32.941719999999997</c:v>
                </c:pt>
              </c:numCache>
            </c:numRef>
          </c:yVal>
          <c:smooth val="0"/>
          <c:extLst>
            <c:ext xmlns:c16="http://schemas.microsoft.com/office/drawing/2014/chart" uri="{C3380CC4-5D6E-409C-BE32-E72D297353CC}">
              <c16:uniqueId val="{00000000-9CDD-4252-914D-30EE0E6D5CFF}"/>
            </c:ext>
          </c:extLst>
        </c:ser>
        <c:ser>
          <c:idx val="1"/>
          <c:order val="1"/>
          <c:tx>
            <c:strRef>
              <c:f>'Elec Wc'!$T$22</c:f>
              <c:strCache>
                <c:ptCount val="1"/>
                <c:pt idx="0">
                  <c:v>Wn+1</c:v>
                </c:pt>
              </c:strCache>
            </c:strRef>
          </c:tx>
          <c:spPr>
            <a:ln w="19050" cap="rnd">
              <a:solidFill>
                <a:schemeClr val="accent2"/>
              </a:solidFill>
              <a:round/>
            </a:ln>
            <a:effectLst/>
          </c:spPr>
          <c:marker>
            <c:symbol val="none"/>
          </c:marker>
          <c:xVal>
            <c:numRef>
              <c:f>'Elec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Wc'!$T$23:$T$147</c:f>
              <c:numCache>
                <c:formatCode>0.0</c:formatCode>
                <c:ptCount val="125"/>
                <c:pt idx="0">
                  <c:v>247.04999999999998</c:v>
                </c:pt>
                <c:pt idx="1">
                  <c:v>244.49999999999997</c:v>
                </c:pt>
                <c:pt idx="2">
                  <c:v>247.77499999999998</c:v>
                </c:pt>
                <c:pt idx="3">
                  <c:v>250.8</c:v>
                </c:pt>
                <c:pt idx="4">
                  <c:v>246.29999999999998</c:v>
                </c:pt>
                <c:pt idx="5">
                  <c:v>247.8</c:v>
                </c:pt>
                <c:pt idx="6">
                  <c:v>242.73499999999996</c:v>
                </c:pt>
                <c:pt idx="7">
                  <c:v>246.72499999999997</c:v>
                </c:pt>
                <c:pt idx="8">
                  <c:v>248.04999999999998</c:v>
                </c:pt>
                <c:pt idx="9">
                  <c:v>228.07</c:v>
                </c:pt>
                <c:pt idx="10">
                  <c:v>233.28749999999997</c:v>
                </c:pt>
                <c:pt idx="11">
                  <c:v>233.95</c:v>
                </c:pt>
                <c:pt idx="12">
                  <c:v>244.125</c:v>
                </c:pt>
                <c:pt idx="13">
                  <c:v>237.29249999999999</c:v>
                </c:pt>
                <c:pt idx="14">
                  <c:v>232.54665</c:v>
                </c:pt>
                <c:pt idx="15">
                  <c:v>227.89571699999999</c:v>
                </c:pt>
                <c:pt idx="16">
                  <c:v>223.33780265999999</c:v>
                </c:pt>
                <c:pt idx="17">
                  <c:v>218.87104660680001</c:v>
                </c:pt>
                <c:pt idx="18">
                  <c:v>214.493625674664</c:v>
                </c:pt>
                <c:pt idx="19">
                  <c:v>210.20375316117071</c:v>
                </c:pt>
                <c:pt idx="20">
                  <c:v>205.99967809794728</c:v>
                </c:pt>
                <c:pt idx="21">
                  <c:v>201.87968453598833</c:v>
                </c:pt>
                <c:pt idx="22">
                  <c:v>197.84209084526856</c:v>
                </c:pt>
                <c:pt idx="23">
                  <c:v>193.88524902836318</c:v>
                </c:pt>
                <c:pt idx="24">
                  <c:v>190.0075440477959</c:v>
                </c:pt>
                <c:pt idx="25">
                  <c:v>186.20739316683998</c:v>
                </c:pt>
                <c:pt idx="26">
                  <c:v>182.48324530350317</c:v>
                </c:pt>
                <c:pt idx="27">
                  <c:v>178.83358039743311</c:v>
                </c:pt>
                <c:pt idx="28">
                  <c:v>175.25690878948444</c:v>
                </c:pt>
                <c:pt idx="29">
                  <c:v>171.75177061369476</c:v>
                </c:pt>
                <c:pt idx="30">
                  <c:v>168.31673520142087</c:v>
                </c:pt>
                <c:pt idx="31">
                  <c:v>164.95040049739245</c:v>
                </c:pt>
                <c:pt idx="32">
                  <c:v>161.65139248744461</c:v>
                </c:pt>
                <c:pt idx="33">
                  <c:v>158.41836463769573</c:v>
                </c:pt>
                <c:pt idx="34">
                  <c:v>155.24999734494182</c:v>
                </c:pt>
                <c:pt idx="35">
                  <c:v>152.14499739804299</c:v>
                </c:pt>
                <c:pt idx="36">
                  <c:v>149.10209745008214</c:v>
                </c:pt>
                <c:pt idx="37">
                  <c:v>146.12005550108049</c:v>
                </c:pt>
                <c:pt idx="38">
                  <c:v>143.19765439105888</c:v>
                </c:pt>
                <c:pt idx="39">
                  <c:v>140.33370130323769</c:v>
                </c:pt>
                <c:pt idx="40">
                  <c:v>137.52702727717295</c:v>
                </c:pt>
                <c:pt idx="41">
                  <c:v>134.77648673162949</c:v>
                </c:pt>
                <c:pt idx="42">
                  <c:v>132.08095699699689</c:v>
                </c:pt>
                <c:pt idx="43">
                  <c:v>129.43933785705696</c:v>
                </c:pt>
                <c:pt idx="44">
                  <c:v>126.85055109991582</c:v>
                </c:pt>
                <c:pt idx="45">
                  <c:v>124.31354007791751</c:v>
                </c:pt>
                <c:pt idx="46">
                  <c:v>121.82726927635916</c:v>
                </c:pt>
                <c:pt idx="47">
                  <c:v>119.39072389083198</c:v>
                </c:pt>
                <c:pt idx="48">
                  <c:v>117.00290941301535</c:v>
                </c:pt>
                <c:pt idx="49">
                  <c:v>114.66285122475504</c:v>
                </c:pt>
                <c:pt idx="50">
                  <c:v>112.36959420025994</c:v>
                </c:pt>
                <c:pt idx="51">
                  <c:v>110.12220231625474</c:v>
                </c:pt>
                <c:pt idx="52">
                  <c:v>107.91975826992964</c:v>
                </c:pt>
                <c:pt idx="53">
                  <c:v>105.76136310453106</c:v>
                </c:pt>
                <c:pt idx="54">
                  <c:v>103.64613584244043</c:v>
                </c:pt>
                <c:pt idx="55">
                  <c:v>101.57321312559162</c:v>
                </c:pt>
                <c:pt idx="56">
                  <c:v>99.541748863079789</c:v>
                </c:pt>
                <c:pt idx="57">
                  <c:v>97.55091388581819</c:v>
                </c:pt>
                <c:pt idx="58">
                  <c:v>95.599895608101832</c:v>
                </c:pt>
                <c:pt idx="59">
                  <c:v>93.687897695939796</c:v>
                </c:pt>
                <c:pt idx="60">
                  <c:v>91.814139742020998</c:v>
                </c:pt>
                <c:pt idx="61">
                  <c:v>89.977856947180584</c:v>
                </c:pt>
                <c:pt idx="62">
                  <c:v>88.178299808236972</c:v>
                </c:pt>
                <c:pt idx="63">
                  <c:v>86.414733812072228</c:v>
                </c:pt>
                <c:pt idx="64">
                  <c:v>84.686439135830781</c:v>
                </c:pt>
                <c:pt idx="65">
                  <c:v>82.992710353114163</c:v>
                </c:pt>
                <c:pt idx="66">
                  <c:v>81.332856146051881</c:v>
                </c:pt>
                <c:pt idx="67">
                  <c:v>79.70619902313085</c:v>
                </c:pt>
                <c:pt idx="68">
                  <c:v>78.112075042668238</c:v>
                </c:pt>
                <c:pt idx="69">
                  <c:v>76.549833541814877</c:v>
                </c:pt>
                <c:pt idx="70">
                  <c:v>75.018836870978575</c:v>
                </c:pt>
                <c:pt idx="71">
                  <c:v>73.518460133559003</c:v>
                </c:pt>
                <c:pt idx="72">
                  <c:v>72.048090930887824</c:v>
                </c:pt>
                <c:pt idx="73">
                  <c:v>70.607129112270073</c:v>
                </c:pt>
                <c:pt idx="74">
                  <c:v>69.194986530024664</c:v>
                </c:pt>
                <c:pt idx="75">
                  <c:v>67.811086799424174</c:v>
                </c:pt>
                <c:pt idx="76">
                  <c:v>66.45486506343569</c:v>
                </c:pt>
                <c:pt idx="77">
                  <c:v>65.125767762166973</c:v>
                </c:pt>
                <c:pt idx="78">
                  <c:v>63.823252406923636</c:v>
                </c:pt>
                <c:pt idx="79">
                  <c:v>62.546787358785167</c:v>
                </c:pt>
                <c:pt idx="80">
                  <c:v>61.295851611609464</c:v>
                </c:pt>
                <c:pt idx="81">
                  <c:v>60.069934579377275</c:v>
                </c:pt>
                <c:pt idx="82">
                  <c:v>58.868535887789733</c:v>
                </c:pt>
                <c:pt idx="83">
                  <c:v>57.691165170033941</c:v>
                </c:pt>
                <c:pt idx="84">
                  <c:v>45.9</c:v>
                </c:pt>
                <c:pt idx="85">
                  <c:v>44.981999999999999</c:v>
                </c:pt>
                <c:pt idx="86">
                  <c:v>58.2</c:v>
                </c:pt>
                <c:pt idx="87">
                  <c:v>57.036000000000001</c:v>
                </c:pt>
                <c:pt idx="88">
                  <c:v>55.89528</c:v>
                </c:pt>
                <c:pt idx="89">
                  <c:v>54.777374399999999</c:v>
                </c:pt>
                <c:pt idx="90">
                  <c:v>53.681826911999998</c:v>
                </c:pt>
                <c:pt idx="91">
                  <c:v>52.608190373759996</c:v>
                </c:pt>
                <c:pt idx="92">
                  <c:v>51.556026566284793</c:v>
                </c:pt>
                <c:pt idx="93">
                  <c:v>50.524906034959095</c:v>
                </c:pt>
                <c:pt idx="94">
                  <c:v>70.2</c:v>
                </c:pt>
                <c:pt idx="95">
                  <c:v>68.796000000000006</c:v>
                </c:pt>
                <c:pt idx="96">
                  <c:v>67.420080000000013</c:v>
                </c:pt>
                <c:pt idx="97">
                  <c:v>66.07167840000001</c:v>
                </c:pt>
                <c:pt idx="98">
                  <c:v>64.750244832000007</c:v>
                </c:pt>
                <c:pt idx="99">
                  <c:v>63.455239935360005</c:v>
                </c:pt>
                <c:pt idx="100">
                  <c:v>62.186135136652808</c:v>
                </c:pt>
                <c:pt idx="101">
                  <c:v>60.942412433919749</c:v>
                </c:pt>
                <c:pt idx="102">
                  <c:v>59.723564185241351</c:v>
                </c:pt>
                <c:pt idx="103">
                  <c:v>58.529092901536522</c:v>
                </c:pt>
                <c:pt idx="104">
                  <c:v>57.358511043505793</c:v>
                </c:pt>
                <c:pt idx="105">
                  <c:v>56.211340822635677</c:v>
                </c:pt>
                <c:pt idx="106">
                  <c:v>55.087114006182965</c:v>
                </c:pt>
                <c:pt idx="107">
                  <c:v>45.3</c:v>
                </c:pt>
                <c:pt idx="108">
                  <c:v>44.393999999999998</c:v>
                </c:pt>
                <c:pt idx="109">
                  <c:v>43.506119999999996</c:v>
                </c:pt>
                <c:pt idx="110">
                  <c:v>42.635997599999996</c:v>
                </c:pt>
                <c:pt idx="111">
                  <c:v>35.4</c:v>
                </c:pt>
                <c:pt idx="112">
                  <c:v>34.692</c:v>
                </c:pt>
                <c:pt idx="113">
                  <c:v>33.998159999999999</c:v>
                </c:pt>
                <c:pt idx="114">
                  <c:v>33.318196799999996</c:v>
                </c:pt>
                <c:pt idx="115">
                  <c:v>32.651832863999992</c:v>
                </c:pt>
                <c:pt idx="116">
                  <c:v>51.2</c:v>
                </c:pt>
                <c:pt idx="117">
                  <c:v>50.176000000000002</c:v>
                </c:pt>
                <c:pt idx="118">
                  <c:v>49.17248</c:v>
                </c:pt>
                <c:pt idx="119">
                  <c:v>48.1890304</c:v>
                </c:pt>
                <c:pt idx="120">
                  <c:v>47.225249792</c:v>
                </c:pt>
                <c:pt idx="121">
                  <c:v>46.28074479616</c:v>
                </c:pt>
                <c:pt idx="122">
                  <c:v>51.8</c:v>
                </c:pt>
                <c:pt idx="123">
                  <c:v>50.763999999999996</c:v>
                </c:pt>
                <c:pt idx="124">
                  <c:v>49.748719999999999</c:v>
                </c:pt>
              </c:numCache>
            </c:numRef>
          </c:yVal>
          <c:smooth val="0"/>
          <c:extLst>
            <c:ext xmlns:c16="http://schemas.microsoft.com/office/drawing/2014/chart" uri="{C3380CC4-5D6E-409C-BE32-E72D297353CC}">
              <c16:uniqueId val="{00000001-9CDD-4252-914D-30EE0E6D5CFF}"/>
            </c:ext>
          </c:extLst>
        </c:ser>
        <c:ser>
          <c:idx val="2"/>
          <c:order val="2"/>
          <c:tx>
            <c:strRef>
              <c:f>'Elec Wc'!$U$22</c:f>
              <c:strCache>
                <c:ptCount val="1"/>
                <c:pt idx="0">
                  <c:v>Wn+2</c:v>
                </c:pt>
              </c:strCache>
            </c:strRef>
          </c:tx>
          <c:spPr>
            <a:ln w="19050" cap="rnd">
              <a:solidFill>
                <a:schemeClr val="accent3"/>
              </a:solidFill>
              <a:round/>
            </a:ln>
            <a:effectLst/>
          </c:spPr>
          <c:marker>
            <c:symbol val="none"/>
          </c:marker>
          <c:xVal>
            <c:numRef>
              <c:f>'Elec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Wc'!$U$23:$U$147</c:f>
              <c:numCache>
                <c:formatCode>0.0</c:formatCode>
                <c:ptCount val="125"/>
                <c:pt idx="0">
                  <c:v>140.63999999999999</c:v>
                </c:pt>
                <c:pt idx="1">
                  <c:v>144.29999999999998</c:v>
                </c:pt>
                <c:pt idx="2">
                  <c:v>149.02499999999998</c:v>
                </c:pt>
                <c:pt idx="3">
                  <c:v>151.91</c:v>
                </c:pt>
                <c:pt idx="4">
                  <c:v>153.26999999999998</c:v>
                </c:pt>
                <c:pt idx="5">
                  <c:v>159.55000000000001</c:v>
                </c:pt>
                <c:pt idx="6">
                  <c:v>163.995</c:v>
                </c:pt>
                <c:pt idx="7">
                  <c:v>168.55</c:v>
                </c:pt>
                <c:pt idx="8">
                  <c:v>173.245</c:v>
                </c:pt>
                <c:pt idx="9">
                  <c:v>167.505</c:v>
                </c:pt>
                <c:pt idx="10">
                  <c:v>169.065</c:v>
                </c:pt>
                <c:pt idx="11">
                  <c:v>176.89499999999998</c:v>
                </c:pt>
                <c:pt idx="12">
                  <c:v>182.23750000000001</c:v>
                </c:pt>
                <c:pt idx="13">
                  <c:v>179.75</c:v>
                </c:pt>
                <c:pt idx="14">
                  <c:v>176.155</c:v>
                </c:pt>
                <c:pt idx="15">
                  <c:v>172.6319</c:v>
                </c:pt>
                <c:pt idx="16">
                  <c:v>169.17926199999999</c:v>
                </c:pt>
                <c:pt idx="17">
                  <c:v>165.79567675999999</c:v>
                </c:pt>
                <c:pt idx="18">
                  <c:v>162.4797632248</c:v>
                </c:pt>
                <c:pt idx="19">
                  <c:v>159.23016796030399</c:v>
                </c:pt>
                <c:pt idx="20">
                  <c:v>156.04556460109791</c:v>
                </c:pt>
                <c:pt idx="21">
                  <c:v>152.92465330907595</c:v>
                </c:pt>
                <c:pt idx="22">
                  <c:v>149.86616024289444</c:v>
                </c:pt>
                <c:pt idx="23">
                  <c:v>146.86883703803656</c:v>
                </c:pt>
                <c:pt idx="24">
                  <c:v>143.93146029727583</c:v>
                </c:pt>
                <c:pt idx="25">
                  <c:v>141.05283109133032</c:v>
                </c:pt>
                <c:pt idx="26">
                  <c:v>138.2317744695037</c:v>
                </c:pt>
                <c:pt idx="27">
                  <c:v>135.46713898011362</c:v>
                </c:pt>
                <c:pt idx="28">
                  <c:v>132.75779620051134</c:v>
                </c:pt>
                <c:pt idx="29">
                  <c:v>130.10264027650112</c:v>
                </c:pt>
                <c:pt idx="30">
                  <c:v>127.5005874709711</c:v>
                </c:pt>
                <c:pt idx="31">
                  <c:v>124.95057572155167</c:v>
                </c:pt>
                <c:pt idx="32">
                  <c:v>122.45156420712064</c:v>
                </c:pt>
                <c:pt idx="33">
                  <c:v>120.00253292297823</c:v>
                </c:pt>
                <c:pt idx="34">
                  <c:v>117.60248226451867</c:v>
                </c:pt>
                <c:pt idx="35">
                  <c:v>115.25043261922829</c:v>
                </c:pt>
                <c:pt idx="36">
                  <c:v>112.94542396684372</c:v>
                </c:pt>
                <c:pt idx="37">
                  <c:v>110.68651548750684</c:v>
                </c:pt>
                <c:pt idx="38">
                  <c:v>108.47278517775671</c:v>
                </c:pt>
                <c:pt idx="39">
                  <c:v>106.30332947420158</c:v>
                </c:pt>
                <c:pt idx="40">
                  <c:v>104.17726288471755</c:v>
                </c:pt>
                <c:pt idx="41">
                  <c:v>102.0937176270232</c:v>
                </c:pt>
                <c:pt idx="42">
                  <c:v>100.05184327448274</c:v>
                </c:pt>
                <c:pt idx="43">
                  <c:v>98.050806408993083</c:v>
                </c:pt>
                <c:pt idx="44">
                  <c:v>96.089790280813219</c:v>
                </c:pt>
                <c:pt idx="45">
                  <c:v>94.167994475196949</c:v>
                </c:pt>
                <c:pt idx="46">
                  <c:v>92.284634585693013</c:v>
                </c:pt>
                <c:pt idx="47">
                  <c:v>90.438941893979148</c:v>
                </c:pt>
                <c:pt idx="48">
                  <c:v>88.630163056099562</c:v>
                </c:pt>
                <c:pt idx="49">
                  <c:v>86.857559794977576</c:v>
                </c:pt>
                <c:pt idx="50">
                  <c:v>85.120408599078019</c:v>
                </c:pt>
                <c:pt idx="51">
                  <c:v>83.418000427096459</c:v>
                </c:pt>
                <c:pt idx="52">
                  <c:v>81.749640418554534</c:v>
                </c:pt>
                <c:pt idx="53">
                  <c:v>80.114647610183439</c:v>
                </c:pt>
                <c:pt idx="54">
                  <c:v>78.51235465797977</c:v>
                </c:pt>
                <c:pt idx="55">
                  <c:v>76.942107564820176</c:v>
                </c:pt>
                <c:pt idx="56">
                  <c:v>75.403265413523769</c:v>
                </c:pt>
                <c:pt idx="57">
                  <c:v>73.895200105253295</c:v>
                </c:pt>
                <c:pt idx="58">
                  <c:v>72.417296103148232</c:v>
                </c:pt>
                <c:pt idx="59">
                  <c:v>70.968950181085262</c:v>
                </c:pt>
                <c:pt idx="60">
                  <c:v>69.549571177463562</c:v>
                </c:pt>
                <c:pt idx="61">
                  <c:v>68.158579753914296</c:v>
                </c:pt>
                <c:pt idx="62">
                  <c:v>66.795408158836011</c:v>
                </c:pt>
                <c:pt idx="63">
                  <c:v>65.459499995659286</c:v>
                </c:pt>
                <c:pt idx="64">
                  <c:v>64.150309995746099</c:v>
                </c:pt>
                <c:pt idx="65">
                  <c:v>62.867303795831177</c:v>
                </c:pt>
                <c:pt idx="66">
                  <c:v>61.609957719914554</c:v>
                </c:pt>
                <c:pt idx="67">
                  <c:v>60.37775856551626</c:v>
                </c:pt>
                <c:pt idx="68">
                  <c:v>59.170203394205934</c:v>
                </c:pt>
                <c:pt idx="69">
                  <c:v>57.986799326321815</c:v>
                </c:pt>
                <c:pt idx="70">
                  <c:v>56.82706333979538</c:v>
                </c:pt>
                <c:pt idx="71">
                  <c:v>55.690522072999471</c:v>
                </c:pt>
                <c:pt idx="72">
                  <c:v>54.576711631539482</c:v>
                </c:pt>
                <c:pt idx="73">
                  <c:v>53.485177398908689</c:v>
                </c:pt>
                <c:pt idx="74">
                  <c:v>52.415473850930518</c:v>
                </c:pt>
                <c:pt idx="75">
                  <c:v>51.367164373911905</c:v>
                </c:pt>
                <c:pt idx="76">
                  <c:v>50.339821086433666</c:v>
                </c:pt>
                <c:pt idx="77">
                  <c:v>49.333024664704993</c:v>
                </c:pt>
                <c:pt idx="78">
                  <c:v>48.34636417141089</c:v>
                </c:pt>
                <c:pt idx="79">
                  <c:v>47.379436887982671</c:v>
                </c:pt>
                <c:pt idx="80">
                  <c:v>53.2</c:v>
                </c:pt>
                <c:pt idx="81">
                  <c:v>52.136000000000003</c:v>
                </c:pt>
                <c:pt idx="82">
                  <c:v>51.09328</c:v>
                </c:pt>
                <c:pt idx="83">
                  <c:v>50.071414400000002</c:v>
                </c:pt>
                <c:pt idx="84">
                  <c:v>49.069986112000002</c:v>
                </c:pt>
                <c:pt idx="85">
                  <c:v>48.088586389760003</c:v>
                </c:pt>
                <c:pt idx="86">
                  <c:v>47.126814661964801</c:v>
                </c:pt>
                <c:pt idx="87">
                  <c:v>46.184278368725508</c:v>
                </c:pt>
                <c:pt idx="88">
                  <c:v>45.260592801350995</c:v>
                </c:pt>
                <c:pt idx="89">
                  <c:v>44.355380945323972</c:v>
                </c:pt>
                <c:pt idx="90">
                  <c:v>52.9</c:v>
                </c:pt>
                <c:pt idx="91">
                  <c:v>51.841999999999999</c:v>
                </c:pt>
                <c:pt idx="92">
                  <c:v>50.805160000000001</c:v>
                </c:pt>
                <c:pt idx="93">
                  <c:v>49.789056799999997</c:v>
                </c:pt>
                <c:pt idx="94">
                  <c:v>48.793275663999999</c:v>
                </c:pt>
                <c:pt idx="95">
                  <c:v>47.817410150720001</c:v>
                </c:pt>
                <c:pt idx="96">
                  <c:v>46.861061947705601</c:v>
                </c:pt>
                <c:pt idx="97">
                  <c:v>45.923840708751491</c:v>
                </c:pt>
                <c:pt idx="98">
                  <c:v>45.005363894576462</c:v>
                </c:pt>
                <c:pt idx="99">
                  <c:v>44.105256616684933</c:v>
                </c:pt>
                <c:pt idx="100">
                  <c:v>43.223151484351234</c:v>
                </c:pt>
                <c:pt idx="101">
                  <c:v>42.358688454664211</c:v>
                </c:pt>
                <c:pt idx="102">
                  <c:v>41.51151468557093</c:v>
                </c:pt>
                <c:pt idx="103">
                  <c:v>40.681284391859514</c:v>
                </c:pt>
                <c:pt idx="104">
                  <c:v>39.867658704022325</c:v>
                </c:pt>
                <c:pt idx="105">
                  <c:v>39.070305529941876</c:v>
                </c:pt>
                <c:pt idx="106">
                  <c:v>38.288899419343039</c:v>
                </c:pt>
                <c:pt idx="107">
                  <c:v>37.523121430956181</c:v>
                </c:pt>
                <c:pt idx="108">
                  <c:v>36.772659002337058</c:v>
                </c:pt>
                <c:pt idx="109">
                  <c:v>36.037205822290318</c:v>
                </c:pt>
                <c:pt idx="110">
                  <c:v>35.31646170584451</c:v>
                </c:pt>
                <c:pt idx="111">
                  <c:v>34.610132471727617</c:v>
                </c:pt>
                <c:pt idx="112">
                  <c:v>33.917929822293061</c:v>
                </c:pt>
                <c:pt idx="113">
                  <c:v>42.9</c:v>
                </c:pt>
                <c:pt idx="114">
                  <c:v>42.042000000000002</c:v>
                </c:pt>
                <c:pt idx="115">
                  <c:v>41.201160000000002</c:v>
                </c:pt>
                <c:pt idx="116">
                  <c:v>40.377136800000002</c:v>
                </c:pt>
                <c:pt idx="117">
                  <c:v>39.569594064</c:v>
                </c:pt>
                <c:pt idx="118">
                  <c:v>45.3</c:v>
                </c:pt>
                <c:pt idx="119">
                  <c:v>44.393999999999998</c:v>
                </c:pt>
                <c:pt idx="120">
                  <c:v>43.506119999999996</c:v>
                </c:pt>
                <c:pt idx="121">
                  <c:v>42.635997599999996</c:v>
                </c:pt>
                <c:pt idx="122">
                  <c:v>41.783277647999995</c:v>
                </c:pt>
                <c:pt idx="123">
                  <c:v>40.947612095039993</c:v>
                </c:pt>
                <c:pt idx="124">
                  <c:v>40.12865985313919</c:v>
                </c:pt>
              </c:numCache>
            </c:numRef>
          </c:yVal>
          <c:smooth val="0"/>
          <c:extLst>
            <c:ext xmlns:c16="http://schemas.microsoft.com/office/drawing/2014/chart" uri="{C3380CC4-5D6E-409C-BE32-E72D297353CC}">
              <c16:uniqueId val="{00000002-9CDD-4252-914D-30EE0E6D5CFF}"/>
            </c:ext>
          </c:extLst>
        </c:ser>
        <c:ser>
          <c:idx val="3"/>
          <c:order val="3"/>
          <c:tx>
            <c:strRef>
              <c:f>'Elec Wc'!$V$22</c:f>
              <c:strCache>
                <c:ptCount val="1"/>
                <c:pt idx="0">
                  <c:v>Wc</c:v>
                </c:pt>
              </c:strCache>
            </c:strRef>
          </c:tx>
          <c:spPr>
            <a:ln w="19050" cap="rnd">
              <a:solidFill>
                <a:schemeClr val="accent4"/>
              </a:solidFill>
              <a:round/>
            </a:ln>
            <a:effectLst/>
          </c:spPr>
          <c:marker>
            <c:symbol val="none"/>
          </c:marker>
          <c:xVal>
            <c:numRef>
              <c:f>'Elec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Wc'!$W$23:$W$147</c:f>
              <c:numCache>
                <c:formatCode>0.0</c:formatCode>
                <c:ptCount val="125"/>
                <c:pt idx="0">
                  <c:v>0</c:v>
                </c:pt>
                <c:pt idx="1">
                  <c:v>244.17262958144784</c:v>
                </c:pt>
                <c:pt idx="2">
                  <c:v>244.17262958144784</c:v>
                </c:pt>
                <c:pt idx="3">
                  <c:v>244.17262958144784</c:v>
                </c:pt>
                <c:pt idx="4">
                  <c:v>244.17262958144784</c:v>
                </c:pt>
                <c:pt idx="5">
                  <c:v>244.17262958144784</c:v>
                </c:pt>
                <c:pt idx="6">
                  <c:v>236.06080613570461</c:v>
                </c:pt>
                <c:pt idx="7">
                  <c:v>236.06080613570461</c:v>
                </c:pt>
                <c:pt idx="8">
                  <c:v>236.06080613570461</c:v>
                </c:pt>
                <c:pt idx="9">
                  <c:v>236.06080613570461</c:v>
                </c:pt>
                <c:pt idx="10">
                  <c:v>226.560727410477</c:v>
                </c:pt>
                <c:pt idx="11">
                  <c:v>226.560727410477</c:v>
                </c:pt>
                <c:pt idx="12">
                  <c:v>226.560727410477</c:v>
                </c:pt>
                <c:pt idx="13">
                  <c:v>226.560727410477</c:v>
                </c:pt>
                <c:pt idx="14">
                  <c:v>220.96786119204816</c:v>
                </c:pt>
                <c:pt idx="15">
                  <c:v>220.96786119204816</c:v>
                </c:pt>
                <c:pt idx="16">
                  <c:v>220.96786119204816</c:v>
                </c:pt>
                <c:pt idx="17">
                  <c:v>220.96786119204816</c:v>
                </c:pt>
                <c:pt idx="18">
                  <c:v>220.96786119204816</c:v>
                </c:pt>
                <c:pt idx="19">
                  <c:v>206.61750305169812</c:v>
                </c:pt>
                <c:pt idx="20">
                  <c:v>206.61750305169812</c:v>
                </c:pt>
                <c:pt idx="21">
                  <c:v>206.61750305169812</c:v>
                </c:pt>
                <c:pt idx="22">
                  <c:v>206.61750305169812</c:v>
                </c:pt>
                <c:pt idx="23">
                  <c:v>189.4153382445671</c:v>
                </c:pt>
                <c:pt idx="24">
                  <c:v>189.4153382445671</c:v>
                </c:pt>
                <c:pt idx="25">
                  <c:v>189.4153382445671</c:v>
                </c:pt>
                <c:pt idx="26">
                  <c:v>189.4153382445671</c:v>
                </c:pt>
                <c:pt idx="27">
                  <c:v>189.4153382445671</c:v>
                </c:pt>
                <c:pt idx="28">
                  <c:v>173.67631273002934</c:v>
                </c:pt>
                <c:pt idx="29">
                  <c:v>173.67631273002934</c:v>
                </c:pt>
                <c:pt idx="30">
                  <c:v>173.67631273002934</c:v>
                </c:pt>
                <c:pt idx="31">
                  <c:v>173.67631273002934</c:v>
                </c:pt>
                <c:pt idx="32">
                  <c:v>173.67631273002934</c:v>
                </c:pt>
                <c:pt idx="33">
                  <c:v>157.68797207222161</c:v>
                </c:pt>
                <c:pt idx="34">
                  <c:v>157.68797207222161</c:v>
                </c:pt>
                <c:pt idx="35">
                  <c:v>157.68797207222161</c:v>
                </c:pt>
                <c:pt idx="36">
                  <c:v>157.68797207222161</c:v>
                </c:pt>
                <c:pt idx="37">
                  <c:v>157.68797207222161</c:v>
                </c:pt>
                <c:pt idx="38">
                  <c:v>145.2612807601684</c:v>
                </c:pt>
                <c:pt idx="39">
                  <c:v>145.2612807601684</c:v>
                </c:pt>
                <c:pt idx="40">
                  <c:v>145.2612807601684</c:v>
                </c:pt>
                <c:pt idx="41">
                  <c:v>141.66368011493566</c:v>
                </c:pt>
                <c:pt idx="42">
                  <c:v>141.66368011493566</c:v>
                </c:pt>
                <c:pt idx="43">
                  <c:v>141.66368011493566</c:v>
                </c:pt>
                <c:pt idx="44">
                  <c:v>141.66368011493566</c:v>
                </c:pt>
                <c:pt idx="45">
                  <c:v>141.66368011493566</c:v>
                </c:pt>
                <c:pt idx="46">
                  <c:v>130.61187581775624</c:v>
                </c:pt>
                <c:pt idx="47">
                  <c:v>130.61187581775624</c:v>
                </c:pt>
                <c:pt idx="48">
                  <c:v>130.61187581775624</c:v>
                </c:pt>
                <c:pt idx="49">
                  <c:v>130.61187581775624</c:v>
                </c:pt>
                <c:pt idx="50">
                  <c:v>130.61187581775624</c:v>
                </c:pt>
                <c:pt idx="51">
                  <c:v>117.96701758583558</c:v>
                </c:pt>
                <c:pt idx="52">
                  <c:v>117.96701758583558</c:v>
                </c:pt>
                <c:pt idx="53">
                  <c:v>117.96701758583558</c:v>
                </c:pt>
                <c:pt idx="54">
                  <c:v>117.96701758583558</c:v>
                </c:pt>
                <c:pt idx="55">
                  <c:v>117.96701758583558</c:v>
                </c:pt>
                <c:pt idx="56">
                  <c:v>106.55226543282583</c:v>
                </c:pt>
                <c:pt idx="57">
                  <c:v>106.55226543282583</c:v>
                </c:pt>
                <c:pt idx="58">
                  <c:v>106.55226543282583</c:v>
                </c:pt>
                <c:pt idx="59">
                  <c:v>106.55226543282583</c:v>
                </c:pt>
                <c:pt idx="60">
                  <c:v>106.55226543282583</c:v>
                </c:pt>
                <c:pt idx="61">
                  <c:v>96.246851047964171</c:v>
                </c:pt>
                <c:pt idx="62">
                  <c:v>96.246851047964171</c:v>
                </c:pt>
                <c:pt idx="63">
                  <c:v>96.246851047964171</c:v>
                </c:pt>
                <c:pt idx="64">
                  <c:v>96.246851047964171</c:v>
                </c:pt>
                <c:pt idx="65">
                  <c:v>96.246851047964171</c:v>
                </c:pt>
                <c:pt idx="66">
                  <c:v>86.942081107390806</c:v>
                </c:pt>
                <c:pt idx="67">
                  <c:v>86.942081107390806</c:v>
                </c:pt>
                <c:pt idx="68">
                  <c:v>86.942081107390806</c:v>
                </c:pt>
                <c:pt idx="69">
                  <c:v>86.942081107390806</c:v>
                </c:pt>
                <c:pt idx="70">
                  <c:v>86.942081107390806</c:v>
                </c:pt>
                <c:pt idx="71">
                  <c:v>78.540083988541724</c:v>
                </c:pt>
                <c:pt idx="72">
                  <c:v>78.540083988541724</c:v>
                </c:pt>
                <c:pt idx="73">
                  <c:v>78.540083988541724</c:v>
                </c:pt>
                <c:pt idx="74">
                  <c:v>78.540083988541724</c:v>
                </c:pt>
                <c:pt idx="75">
                  <c:v>78.540083988541724</c:v>
                </c:pt>
                <c:pt idx="76">
                  <c:v>70.695986450339177</c:v>
                </c:pt>
                <c:pt idx="77">
                  <c:v>70.695986450339177</c:v>
                </c:pt>
                <c:pt idx="78">
                  <c:v>70.695986450339177</c:v>
                </c:pt>
                <c:pt idx="79">
                  <c:v>70.695986450339177</c:v>
                </c:pt>
                <c:pt idx="80">
                  <c:v>70.695986450339177</c:v>
                </c:pt>
                <c:pt idx="81">
                  <c:v>62.982955262080239</c:v>
                </c:pt>
                <c:pt idx="82">
                  <c:v>62.982955262080239</c:v>
                </c:pt>
                <c:pt idx="83">
                  <c:v>62.982955262080239</c:v>
                </c:pt>
                <c:pt idx="84">
                  <c:v>62.982955262080239</c:v>
                </c:pt>
                <c:pt idx="85">
                  <c:v>62.982955262080239</c:v>
                </c:pt>
                <c:pt idx="86">
                  <c:v>53.280710581684886</c:v>
                </c:pt>
                <c:pt idx="87">
                  <c:v>53.280710581684886</c:v>
                </c:pt>
                <c:pt idx="88">
                  <c:v>53.280710581684886</c:v>
                </c:pt>
                <c:pt idx="89">
                  <c:v>53.280710581684886</c:v>
                </c:pt>
                <c:pt idx="90">
                  <c:v>53.280710581684886</c:v>
                </c:pt>
                <c:pt idx="91">
                  <c:v>55.025959781685629</c:v>
                </c:pt>
                <c:pt idx="92">
                  <c:v>55.025959781685629</c:v>
                </c:pt>
                <c:pt idx="93">
                  <c:v>55.025959781685629</c:v>
                </c:pt>
                <c:pt idx="94">
                  <c:v>55.025959781685629</c:v>
                </c:pt>
                <c:pt idx="95">
                  <c:v>55.025959781685629</c:v>
                </c:pt>
                <c:pt idx="96">
                  <c:v>57.423378291989209</c:v>
                </c:pt>
                <c:pt idx="97">
                  <c:v>57.423378291989209</c:v>
                </c:pt>
                <c:pt idx="98">
                  <c:v>57.423378291989209</c:v>
                </c:pt>
                <c:pt idx="99">
                  <c:v>57.423378291989209</c:v>
                </c:pt>
                <c:pt idx="100">
                  <c:v>57.423378291989209</c:v>
                </c:pt>
                <c:pt idx="101">
                  <c:v>62.984522606909515</c:v>
                </c:pt>
                <c:pt idx="102">
                  <c:v>62.984522606909515</c:v>
                </c:pt>
                <c:pt idx="103">
                  <c:v>62.984522606909515</c:v>
                </c:pt>
                <c:pt idx="104">
                  <c:v>62.984522606909515</c:v>
                </c:pt>
                <c:pt idx="105">
                  <c:v>57.770337575898075</c:v>
                </c:pt>
                <c:pt idx="106">
                  <c:v>57.770337575898075</c:v>
                </c:pt>
                <c:pt idx="107">
                  <c:v>57.770337575898075</c:v>
                </c:pt>
                <c:pt idx="108">
                  <c:v>57.770337575898075</c:v>
                </c:pt>
                <c:pt idx="109">
                  <c:v>57.770337575898075</c:v>
                </c:pt>
                <c:pt idx="110">
                  <c:v>48.354806006930467</c:v>
                </c:pt>
                <c:pt idx="111">
                  <c:v>48.354806006930467</c:v>
                </c:pt>
                <c:pt idx="112">
                  <c:v>48.354806006930467</c:v>
                </c:pt>
                <c:pt idx="113">
                  <c:v>48.354806006930467</c:v>
                </c:pt>
                <c:pt idx="114">
                  <c:v>48.354806006930467</c:v>
                </c:pt>
                <c:pt idx="115">
                  <c:v>36.240857477222008</c:v>
                </c:pt>
                <c:pt idx="116">
                  <c:v>36.240857477222008</c:v>
                </c:pt>
                <c:pt idx="117">
                  <c:v>36.240857477222008</c:v>
                </c:pt>
                <c:pt idx="118">
                  <c:v>36.240857477222008</c:v>
                </c:pt>
                <c:pt idx="119">
                  <c:v>36.240857477222008</c:v>
                </c:pt>
                <c:pt idx="120">
                  <c:v>45.982487633257506</c:v>
                </c:pt>
                <c:pt idx="121">
                  <c:v>45.982487633257506</c:v>
                </c:pt>
                <c:pt idx="122">
                  <c:v>45.982487633257506</c:v>
                </c:pt>
                <c:pt idx="123">
                  <c:v>45.982487633257506</c:v>
                </c:pt>
                <c:pt idx="124">
                  <c:v>45.982487633257506</c:v>
                </c:pt>
              </c:numCache>
            </c:numRef>
          </c:yVal>
          <c:smooth val="0"/>
          <c:extLst>
            <c:ext xmlns:c16="http://schemas.microsoft.com/office/drawing/2014/chart" uri="{C3380CC4-5D6E-409C-BE32-E72D297353CC}">
              <c16:uniqueId val="{00000003-9CDD-4252-914D-30EE0E6D5CFF}"/>
            </c:ext>
          </c:extLst>
        </c:ser>
        <c:dLbls>
          <c:showLegendKey val="0"/>
          <c:showVal val="0"/>
          <c:showCatName val="0"/>
          <c:showSerName val="0"/>
          <c:showPercent val="0"/>
          <c:showBubbleSize val="0"/>
        </c:dLbls>
        <c:axId val="998360255"/>
        <c:axId val="998361503"/>
      </c:scatterChart>
      <c:valAx>
        <c:axId val="998360255"/>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361503"/>
        <c:crosses val="autoZero"/>
        <c:crossBetween val="midCat"/>
        <c:majorUnit val="31"/>
      </c:valAx>
      <c:valAx>
        <c:axId val="998361503"/>
        <c:scaling>
          <c:orientation val="minMax"/>
        </c:scaling>
        <c:delete val="0"/>
        <c:axPos val="l"/>
        <c:majorGridlines>
          <c:spPr>
            <a:ln w="9525" cap="flat" cmpd="sng" algn="ctr">
              <a:solidFill>
                <a:schemeClr val="tx1">
                  <a:lumMod val="15000"/>
                  <a:lumOff val="85000"/>
                </a:schemeClr>
              </a:solidFill>
              <a:round/>
            </a:ln>
            <a:effectLst/>
          </c:spPr>
        </c:majorGridlines>
        <c:title>
          <c:tx>
            <c:strRef>
              <c:f>'Elec Calculations'!$B$35</c:f>
              <c:strCache>
                <c:ptCount val="1"/>
                <c:pt idx="0">
                  <c:v>Wholesale Electric cost £/MWh</c:v>
                </c:pt>
              </c:strCache>
            </c:strRef>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36025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Wholesale Cost, Trigger Point &amp; Market Stabilisation</a:t>
            </a:r>
            <a:r>
              <a:rPr lang="en-GB" baseline="0"/>
              <a:t> Charge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Wholesale cost</c:v>
          </c:tx>
          <c:spPr>
            <a:ln w="19050" cap="rnd">
              <a:solidFill>
                <a:schemeClr val="accent1"/>
              </a:solidFill>
              <a:round/>
            </a:ln>
            <a:effectLst/>
          </c:spPr>
          <c:marker>
            <c:symbol val="none"/>
          </c:marker>
          <c:xVal>
            <c:numRef>
              <c:f>'Elec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'Elec Wc'!$W$23:$W$147</c:f>
              <c:numCache>
                <c:formatCode>0.0</c:formatCode>
                <c:ptCount val="125"/>
                <c:pt idx="0">
                  <c:v>0</c:v>
                </c:pt>
                <c:pt idx="1">
                  <c:v>244.17262958144784</c:v>
                </c:pt>
                <c:pt idx="2">
                  <c:v>244.17262958144784</c:v>
                </c:pt>
                <c:pt idx="3">
                  <c:v>244.17262958144784</c:v>
                </c:pt>
                <c:pt idx="4">
                  <c:v>244.17262958144784</c:v>
                </c:pt>
                <c:pt idx="5">
                  <c:v>244.17262958144784</c:v>
                </c:pt>
                <c:pt idx="6">
                  <c:v>236.06080613570461</c:v>
                </c:pt>
                <c:pt idx="7">
                  <c:v>236.06080613570461</c:v>
                </c:pt>
                <c:pt idx="8">
                  <c:v>236.06080613570461</c:v>
                </c:pt>
                <c:pt idx="9">
                  <c:v>236.06080613570461</c:v>
                </c:pt>
                <c:pt idx="10">
                  <c:v>226.560727410477</c:v>
                </c:pt>
                <c:pt idx="11">
                  <c:v>226.560727410477</c:v>
                </c:pt>
                <c:pt idx="12">
                  <c:v>226.560727410477</c:v>
                </c:pt>
                <c:pt idx="13">
                  <c:v>226.560727410477</c:v>
                </c:pt>
                <c:pt idx="14">
                  <c:v>220.96786119204816</c:v>
                </c:pt>
                <c:pt idx="15">
                  <c:v>220.96786119204816</c:v>
                </c:pt>
                <c:pt idx="16">
                  <c:v>220.96786119204816</c:v>
                </c:pt>
                <c:pt idx="17">
                  <c:v>220.96786119204816</c:v>
                </c:pt>
                <c:pt idx="18">
                  <c:v>220.96786119204816</c:v>
                </c:pt>
                <c:pt idx="19">
                  <c:v>206.61750305169812</c:v>
                </c:pt>
                <c:pt idx="20">
                  <c:v>206.61750305169812</c:v>
                </c:pt>
                <c:pt idx="21">
                  <c:v>206.61750305169812</c:v>
                </c:pt>
                <c:pt idx="22">
                  <c:v>206.61750305169812</c:v>
                </c:pt>
                <c:pt idx="23">
                  <c:v>189.4153382445671</c:v>
                </c:pt>
                <c:pt idx="24">
                  <c:v>189.4153382445671</c:v>
                </c:pt>
                <c:pt idx="25">
                  <c:v>189.4153382445671</c:v>
                </c:pt>
                <c:pt idx="26">
                  <c:v>189.4153382445671</c:v>
                </c:pt>
                <c:pt idx="27">
                  <c:v>189.4153382445671</c:v>
                </c:pt>
                <c:pt idx="28">
                  <c:v>173.67631273002934</c:v>
                </c:pt>
                <c:pt idx="29">
                  <c:v>173.67631273002934</c:v>
                </c:pt>
                <c:pt idx="30">
                  <c:v>173.67631273002934</c:v>
                </c:pt>
                <c:pt idx="31">
                  <c:v>173.67631273002934</c:v>
                </c:pt>
                <c:pt idx="32">
                  <c:v>173.67631273002934</c:v>
                </c:pt>
                <c:pt idx="33">
                  <c:v>157.68797207222161</c:v>
                </c:pt>
                <c:pt idx="34">
                  <c:v>157.68797207222161</c:v>
                </c:pt>
                <c:pt idx="35">
                  <c:v>157.68797207222161</c:v>
                </c:pt>
                <c:pt idx="36">
                  <c:v>157.68797207222161</c:v>
                </c:pt>
                <c:pt idx="37">
                  <c:v>157.68797207222161</c:v>
                </c:pt>
                <c:pt idx="38">
                  <c:v>145.2612807601684</c:v>
                </c:pt>
                <c:pt idx="39">
                  <c:v>145.2612807601684</c:v>
                </c:pt>
                <c:pt idx="40">
                  <c:v>145.2612807601684</c:v>
                </c:pt>
                <c:pt idx="41">
                  <c:v>141.66368011493566</c:v>
                </c:pt>
                <c:pt idx="42">
                  <c:v>141.66368011493566</c:v>
                </c:pt>
                <c:pt idx="43">
                  <c:v>141.66368011493566</c:v>
                </c:pt>
                <c:pt idx="44">
                  <c:v>141.66368011493566</c:v>
                </c:pt>
                <c:pt idx="45">
                  <c:v>141.66368011493566</c:v>
                </c:pt>
                <c:pt idx="46">
                  <c:v>130.61187581775624</c:v>
                </c:pt>
                <c:pt idx="47">
                  <c:v>130.61187581775624</c:v>
                </c:pt>
                <c:pt idx="48">
                  <c:v>130.61187581775624</c:v>
                </c:pt>
                <c:pt idx="49">
                  <c:v>130.61187581775624</c:v>
                </c:pt>
                <c:pt idx="50">
                  <c:v>130.61187581775624</c:v>
                </c:pt>
                <c:pt idx="51">
                  <c:v>117.96701758583558</c:v>
                </c:pt>
                <c:pt idx="52">
                  <c:v>117.96701758583558</c:v>
                </c:pt>
                <c:pt idx="53">
                  <c:v>117.96701758583558</c:v>
                </c:pt>
                <c:pt idx="54">
                  <c:v>117.96701758583558</c:v>
                </c:pt>
                <c:pt idx="55">
                  <c:v>117.96701758583558</c:v>
                </c:pt>
                <c:pt idx="56">
                  <c:v>106.55226543282583</c:v>
                </c:pt>
                <c:pt idx="57">
                  <c:v>106.55226543282583</c:v>
                </c:pt>
                <c:pt idx="58">
                  <c:v>106.55226543282583</c:v>
                </c:pt>
                <c:pt idx="59">
                  <c:v>106.55226543282583</c:v>
                </c:pt>
                <c:pt idx="60">
                  <c:v>106.55226543282583</c:v>
                </c:pt>
                <c:pt idx="61">
                  <c:v>96.246851047964171</c:v>
                </c:pt>
                <c:pt idx="62">
                  <c:v>96.246851047964171</c:v>
                </c:pt>
                <c:pt idx="63">
                  <c:v>96.246851047964171</c:v>
                </c:pt>
                <c:pt idx="64">
                  <c:v>96.246851047964171</c:v>
                </c:pt>
                <c:pt idx="65">
                  <c:v>96.246851047964171</c:v>
                </c:pt>
                <c:pt idx="66">
                  <c:v>86.942081107390806</c:v>
                </c:pt>
                <c:pt idx="67">
                  <c:v>86.942081107390806</c:v>
                </c:pt>
                <c:pt idx="68">
                  <c:v>86.942081107390806</c:v>
                </c:pt>
                <c:pt idx="69">
                  <c:v>86.942081107390806</c:v>
                </c:pt>
                <c:pt idx="70">
                  <c:v>86.942081107390806</c:v>
                </c:pt>
                <c:pt idx="71">
                  <c:v>78.540083988541724</c:v>
                </c:pt>
                <c:pt idx="72">
                  <c:v>78.540083988541724</c:v>
                </c:pt>
                <c:pt idx="73">
                  <c:v>78.540083988541724</c:v>
                </c:pt>
                <c:pt idx="74">
                  <c:v>78.540083988541724</c:v>
                </c:pt>
                <c:pt idx="75">
                  <c:v>78.540083988541724</c:v>
                </c:pt>
                <c:pt idx="76">
                  <c:v>70.695986450339177</c:v>
                </c:pt>
                <c:pt idx="77">
                  <c:v>70.695986450339177</c:v>
                </c:pt>
                <c:pt idx="78">
                  <c:v>70.695986450339177</c:v>
                </c:pt>
                <c:pt idx="79">
                  <c:v>70.695986450339177</c:v>
                </c:pt>
                <c:pt idx="80">
                  <c:v>70.695986450339177</c:v>
                </c:pt>
                <c:pt idx="81">
                  <c:v>62.982955262080239</c:v>
                </c:pt>
                <c:pt idx="82">
                  <c:v>62.982955262080239</c:v>
                </c:pt>
                <c:pt idx="83">
                  <c:v>62.982955262080239</c:v>
                </c:pt>
                <c:pt idx="84">
                  <c:v>62.982955262080239</c:v>
                </c:pt>
                <c:pt idx="85">
                  <c:v>62.982955262080239</c:v>
                </c:pt>
                <c:pt idx="86">
                  <c:v>53.280710581684886</c:v>
                </c:pt>
                <c:pt idx="87">
                  <c:v>53.280710581684886</c:v>
                </c:pt>
                <c:pt idx="88">
                  <c:v>53.280710581684886</c:v>
                </c:pt>
                <c:pt idx="89">
                  <c:v>53.280710581684886</c:v>
                </c:pt>
                <c:pt idx="90">
                  <c:v>53.280710581684886</c:v>
                </c:pt>
                <c:pt idx="91">
                  <c:v>55.025959781685629</c:v>
                </c:pt>
                <c:pt idx="92">
                  <c:v>55.025959781685629</c:v>
                </c:pt>
                <c:pt idx="93">
                  <c:v>55.025959781685629</c:v>
                </c:pt>
                <c:pt idx="94">
                  <c:v>55.025959781685629</c:v>
                </c:pt>
                <c:pt idx="95">
                  <c:v>55.025959781685629</c:v>
                </c:pt>
                <c:pt idx="96">
                  <c:v>57.423378291989209</c:v>
                </c:pt>
                <c:pt idx="97">
                  <c:v>57.423378291989209</c:v>
                </c:pt>
                <c:pt idx="98">
                  <c:v>57.423378291989209</c:v>
                </c:pt>
                <c:pt idx="99">
                  <c:v>57.423378291989209</c:v>
                </c:pt>
                <c:pt idx="100">
                  <c:v>57.423378291989209</c:v>
                </c:pt>
                <c:pt idx="101">
                  <c:v>62.984522606909515</c:v>
                </c:pt>
                <c:pt idx="102">
                  <c:v>62.984522606909515</c:v>
                </c:pt>
                <c:pt idx="103">
                  <c:v>62.984522606909515</c:v>
                </c:pt>
                <c:pt idx="104">
                  <c:v>62.984522606909515</c:v>
                </c:pt>
                <c:pt idx="105">
                  <c:v>57.770337575898075</c:v>
                </c:pt>
                <c:pt idx="106">
                  <c:v>57.770337575898075</c:v>
                </c:pt>
                <c:pt idx="107">
                  <c:v>57.770337575898075</c:v>
                </c:pt>
                <c:pt idx="108">
                  <c:v>57.770337575898075</c:v>
                </c:pt>
                <c:pt idx="109">
                  <c:v>57.770337575898075</c:v>
                </c:pt>
                <c:pt idx="110">
                  <c:v>48.354806006930467</c:v>
                </c:pt>
                <c:pt idx="111">
                  <c:v>48.354806006930467</c:v>
                </c:pt>
                <c:pt idx="112">
                  <c:v>48.354806006930467</c:v>
                </c:pt>
                <c:pt idx="113">
                  <c:v>48.354806006930467</c:v>
                </c:pt>
                <c:pt idx="114">
                  <c:v>48.354806006930467</c:v>
                </c:pt>
                <c:pt idx="115">
                  <c:v>36.240857477222008</c:v>
                </c:pt>
                <c:pt idx="116">
                  <c:v>36.240857477222008</c:v>
                </c:pt>
                <c:pt idx="117">
                  <c:v>36.240857477222008</c:v>
                </c:pt>
                <c:pt idx="118">
                  <c:v>36.240857477222008</c:v>
                </c:pt>
                <c:pt idx="119">
                  <c:v>36.240857477222008</c:v>
                </c:pt>
                <c:pt idx="120">
                  <c:v>45.982487633257506</c:v>
                </c:pt>
                <c:pt idx="121">
                  <c:v>45.982487633257506</c:v>
                </c:pt>
                <c:pt idx="122">
                  <c:v>45.982487633257506</c:v>
                </c:pt>
                <c:pt idx="123">
                  <c:v>45.982487633257506</c:v>
                </c:pt>
                <c:pt idx="124">
                  <c:v>45.982487633257506</c:v>
                </c:pt>
              </c:numCache>
            </c:numRef>
          </c:yVal>
          <c:smooth val="0"/>
          <c:extLst>
            <c:ext xmlns:c16="http://schemas.microsoft.com/office/drawing/2014/chart" uri="{C3380CC4-5D6E-409C-BE32-E72D297353CC}">
              <c16:uniqueId val="{00000000-5FD7-4477-BEAC-5CA6616D5AD2}"/>
            </c:ext>
          </c:extLst>
        </c:ser>
        <c:ser>
          <c:idx val="1"/>
          <c:order val="1"/>
          <c:tx>
            <c:v>Trigger point</c:v>
          </c:tx>
          <c:spPr>
            <a:ln w="19050" cap="rnd">
              <a:solidFill>
                <a:schemeClr val="accent2"/>
              </a:solidFill>
              <a:round/>
            </a:ln>
            <a:effectLst/>
          </c:spPr>
          <c:marker>
            <c:symbol val="none"/>
          </c:marker>
          <c:xVal>
            <c:numRef>
              <c:f>'Elec Wpc'!$D$22:$D$204</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'Elec Wpc'!$T$22:$T$204</c:f>
              <c:numCache>
                <c:formatCode>0.00</c:formatCode>
                <c:ptCount val="183"/>
                <c:pt idx="0">
                  <c:v>143.53865269394731</c:v>
                </c:pt>
                <c:pt idx="1">
                  <c:v>143.88007620458109</c:v>
                </c:pt>
                <c:pt idx="2">
                  <c:v>144.22241537206963</c:v>
                </c:pt>
                <c:pt idx="3">
                  <c:v>144.56567388488156</c:v>
                </c:pt>
                <c:pt idx="4">
                  <c:v>144.9098554513227</c:v>
                </c:pt>
                <c:pt idx="5">
                  <c:v>145.25496379966981</c:v>
                </c:pt>
                <c:pt idx="6">
                  <c:v>145.60100267830487</c:v>
                </c:pt>
                <c:pt idx="7">
                  <c:v>145.94797585585113</c:v>
                </c:pt>
                <c:pt idx="8">
                  <c:v>146.29588712130979</c:v>
                </c:pt>
                <c:pt idx="9">
                  <c:v>146.64474028419789</c:v>
                </c:pt>
                <c:pt idx="10">
                  <c:v>146.99453917468733</c:v>
                </c:pt>
                <c:pt idx="11">
                  <c:v>147.34528764374511</c:v>
                </c:pt>
                <c:pt idx="12">
                  <c:v>147.69698956327468</c:v>
                </c:pt>
                <c:pt idx="13">
                  <c:v>148.04964882625836</c:v>
                </c:pt>
                <c:pt idx="14">
                  <c:v>148.403269346901</c:v>
                </c:pt>
                <c:pt idx="15">
                  <c:v>148.75785506077474</c:v>
                </c:pt>
                <c:pt idx="16">
                  <c:v>149.11340992496514</c:v>
                </c:pt>
                <c:pt idx="17">
                  <c:v>149.46993791821816</c:v>
                </c:pt>
                <c:pt idx="18">
                  <c:v>149.8274430410888</c:v>
                </c:pt>
                <c:pt idx="19">
                  <c:v>150.18592931609072</c:v>
                </c:pt>
                <c:pt idx="20">
                  <c:v>150.54540078784689</c:v>
                </c:pt>
                <c:pt idx="21">
                  <c:v>150.9058615232419</c:v>
                </c:pt>
                <c:pt idx="22">
                  <c:v>151.26731561157521</c:v>
                </c:pt>
                <c:pt idx="23">
                  <c:v>151.62976716471607</c:v>
                </c:pt>
                <c:pt idx="24">
                  <c:v>151.99322031725893</c:v>
                </c:pt>
                <c:pt idx="25">
                  <c:v>152.3576792266812</c:v>
                </c:pt>
                <c:pt idx="26">
                  <c:v>152.72314807350133</c:v>
                </c:pt>
                <c:pt idx="27">
                  <c:v>153.08963106143904</c:v>
                </c:pt>
                <c:pt idx="28">
                  <c:v>153.45713241757613</c:v>
                </c:pt>
                <c:pt idx="29">
                  <c:v>153.82565639251925</c:v>
                </c:pt>
                <c:pt idx="30">
                  <c:v>154.19520726056373</c:v>
                </c:pt>
                <c:pt idx="31">
                  <c:v>154.56578931985879</c:v>
                </c:pt>
                <c:pt idx="32">
                  <c:v>154.93740689257416</c:v>
                </c:pt>
                <c:pt idx="33">
                  <c:v>155.3100643250682</c:v>
                </c:pt>
                <c:pt idx="34">
                  <c:v>155.68376598805727</c:v>
                </c:pt>
                <c:pt idx="35">
                  <c:v>156.05851627678661</c:v>
                </c:pt>
                <c:pt idx="36">
                  <c:v>156.43431961120265</c:v>
                </c:pt>
                <c:pt idx="37">
                  <c:v>156.81118043612699</c:v>
                </c:pt>
                <c:pt idx="38">
                  <c:v>157.18910322143125</c:v>
                </c:pt>
                <c:pt idx="39">
                  <c:v>157.56809246221403</c:v>
                </c:pt>
                <c:pt idx="40">
                  <c:v>157.94815267897917</c:v>
                </c:pt>
                <c:pt idx="41">
                  <c:v>158.32928841781538</c:v>
                </c:pt>
                <c:pt idx="42">
                  <c:v>158.71150425057755</c:v>
                </c:pt>
                <c:pt idx="43">
                  <c:v>159.09480477506946</c:v>
                </c:pt>
                <c:pt idx="44">
                  <c:v>159.47919461522835</c:v>
                </c:pt>
                <c:pt idx="45">
                  <c:v>159.86467842131063</c:v>
                </c:pt>
                <c:pt idx="46">
                  <c:v>160.25126087007951</c:v>
                </c:pt>
                <c:pt idx="47">
                  <c:v>160.63894666499419</c:v>
                </c:pt>
                <c:pt idx="48">
                  <c:v>161.02774053640047</c:v>
                </c:pt>
                <c:pt idx="49">
                  <c:v>161.59934791371037</c:v>
                </c:pt>
                <c:pt idx="50">
                  <c:v>162.16935044027338</c:v>
                </c:pt>
                <c:pt idx="51">
                  <c:v>162.73775486530818</c:v>
                </c:pt>
                <c:pt idx="52">
                  <c:v>163.30456790024107</c:v>
                </c:pt>
                <c:pt idx="53">
                  <c:v>163.86979621897027</c:v>
                </c:pt>
                <c:pt idx="54">
                  <c:v>164.43344645812792</c:v>
                </c:pt>
                <c:pt idx="55">
                  <c:v>164.99552521733975</c:v>
                </c:pt>
                <c:pt idx="56">
                  <c:v>165.55603905948254</c:v>
                </c:pt>
                <c:pt idx="57">
                  <c:v>166.11499451093982</c:v>
                </c:pt>
                <c:pt idx="58">
                  <c:v>166.67239806185495</c:v>
                </c:pt>
                <c:pt idx="59">
                  <c:v>167.22825616638247</c:v>
                </c:pt>
                <c:pt idx="60">
                  <c:v>167.78257524293699</c:v>
                </c:pt>
                <c:pt idx="61">
                  <c:v>168.33536167444055</c:v>
                </c:pt>
                <c:pt idx="62">
                  <c:v>168.8866218085673</c:v>
                </c:pt>
                <c:pt idx="63">
                  <c:v>169.43636195798678</c:v>
                </c:pt>
                <c:pt idx="64">
                  <c:v>169.98458840060459</c:v>
                </c:pt>
                <c:pt idx="65">
                  <c:v>170.53130737980155</c:v>
                </c:pt>
                <c:pt idx="66">
                  <c:v>171.07652510467057</c:v>
                </c:pt>
                <c:pt idx="67">
                  <c:v>171.62024775025196</c:v>
                </c:pt>
                <c:pt idx="68">
                  <c:v>172.16248145776623</c:v>
                </c:pt>
                <c:pt idx="69">
                  <c:v>172.70323233484558</c:v>
                </c:pt>
                <c:pt idx="70">
                  <c:v>173.24250645576302</c:v>
                </c:pt>
                <c:pt idx="71">
                  <c:v>173.7803098616599</c:v>
                </c:pt>
                <c:pt idx="72">
                  <c:v>174.31664856077157</c:v>
                </c:pt>
                <c:pt idx="73">
                  <c:v>174.8515285286509</c:v>
                </c:pt>
                <c:pt idx="74">
                  <c:v>175.38495570839055</c:v>
                </c:pt>
                <c:pt idx="75">
                  <c:v>175.91693601084268</c:v>
                </c:pt>
                <c:pt idx="76">
                  <c:v>176.44747531483759</c:v>
                </c:pt>
                <c:pt idx="77">
                  <c:v>176.97657946740017</c:v>
                </c:pt>
                <c:pt idx="78">
                  <c:v>177.5042542839646</c:v>
                </c:pt>
                <c:pt idx="79">
                  <c:v>178.03050554858766</c:v>
                </c:pt>
                <c:pt idx="80">
                  <c:v>178.55533901415973</c:v>
                </c:pt>
                <c:pt idx="81">
                  <c:v>179.07876040261476</c:v>
                </c:pt>
                <c:pt idx="82">
                  <c:v>179.60077540513799</c:v>
                </c:pt>
                <c:pt idx="83">
                  <c:v>180.12138968237227</c:v>
                </c:pt>
                <c:pt idx="84">
                  <c:v>180.64060886462286</c:v>
                </c:pt>
                <c:pt idx="85">
                  <c:v>181.15843855205995</c:v>
                </c:pt>
                <c:pt idx="86">
                  <c:v>181.67488431492052</c:v>
                </c:pt>
                <c:pt idx="87">
                  <c:v>182.18995169370771</c:v>
                </c:pt>
                <c:pt idx="88">
                  <c:v>182.70364619938917</c:v>
                </c:pt>
                <c:pt idx="89">
                  <c:v>183.21597331359342</c:v>
                </c:pt>
                <c:pt idx="90">
                  <c:v>183.72693848880496</c:v>
                </c:pt>
                <c:pt idx="91">
                  <c:v>184.2365471485578</c:v>
                </c:pt>
                <c:pt idx="92">
                  <c:v>184.74480468762698</c:v>
                </c:pt>
                <c:pt idx="93">
                  <c:v>185.2517164722193</c:v>
                </c:pt>
                <c:pt idx="94">
                  <c:v>185.75728784016212</c:v>
                </c:pt>
                <c:pt idx="95">
                  <c:v>186.26152410109057</c:v>
                </c:pt>
                <c:pt idx="96">
                  <c:v>186.76443053663354</c:v>
                </c:pt>
                <c:pt idx="97">
                  <c:v>187.26601240059799</c:v>
                </c:pt>
                <c:pt idx="98">
                  <c:v>187.76627491915218</c:v>
                </c:pt>
                <c:pt idx="99">
                  <c:v>188.26522329100675</c:v>
                </c:pt>
                <c:pt idx="100">
                  <c:v>188.76286268759515</c:v>
                </c:pt>
                <c:pt idx="101">
                  <c:v>189.25919825325212</c:v>
                </c:pt>
                <c:pt idx="102">
                  <c:v>189.75423510539119</c:v>
                </c:pt>
                <c:pt idx="103">
                  <c:v>190.24797833468014</c:v>
                </c:pt>
                <c:pt idx="104">
                  <c:v>190.74043300521598</c:v>
                </c:pt>
                <c:pt idx="105">
                  <c:v>191.23160415469778</c:v>
                </c:pt>
                <c:pt idx="106">
                  <c:v>191.72149679459852</c:v>
                </c:pt>
                <c:pt idx="107">
                  <c:v>192.21011591033553</c:v>
                </c:pt>
                <c:pt idx="108">
                  <c:v>192.69746646143966</c:v>
                </c:pt>
                <c:pt idx="109">
                  <c:v>193.18355338172307</c:v>
                </c:pt>
                <c:pt idx="110">
                  <c:v>193.66838157944557</c:v>
                </c:pt>
                <c:pt idx="111">
                  <c:v>194.15195593748004</c:v>
                </c:pt>
                <c:pt idx="112">
                  <c:v>194.63428131347629</c:v>
                </c:pt>
                <c:pt idx="113">
                  <c:v>195.11536254002368</c:v>
                </c:pt>
                <c:pt idx="114">
                  <c:v>195.59520442481244</c:v>
                </c:pt>
                <c:pt idx="115">
                  <c:v>196.07381175079411</c:v>
                </c:pt>
                <c:pt idx="116">
                  <c:v>196.55118927634004</c:v>
                </c:pt>
                <c:pt idx="117">
                  <c:v>197.02734173539949</c:v>
                </c:pt>
                <c:pt idx="118">
                  <c:v>197.50227383765576</c:v>
                </c:pt>
                <c:pt idx="119">
                  <c:v>197.97599026868184</c:v>
                </c:pt>
                <c:pt idx="120">
                  <c:v>198.44849569009418</c:v>
                </c:pt>
                <c:pt idx="121">
                  <c:v>198.91979473970574</c:v>
                </c:pt>
                <c:pt idx="122">
                  <c:v>199.3898920316777</c:v>
                </c:pt>
                <c:pt idx="123">
                  <c:v>199.85879215667015</c:v>
                </c:pt>
                <c:pt idx="124">
                  <c:v>200.32649968199132</c:v>
                </c:pt>
                <c:pt idx="125">
                  <c:v>200.79301915174599</c:v>
                </c:pt>
                <c:pt idx="126">
                  <c:v>201.25835508698279</c:v>
                </c:pt>
                <c:pt idx="127">
                  <c:v>201.7225119858399</c:v>
                </c:pt>
                <c:pt idx="128">
                  <c:v>202.18549432369028</c:v>
                </c:pt>
                <c:pt idx="129">
                  <c:v>202.64730655328543</c:v>
                </c:pt>
                <c:pt idx="130">
                  <c:v>203.10795310489814</c:v>
                </c:pt>
                <c:pt idx="131">
                  <c:v>203.5674383864642</c:v>
                </c:pt>
                <c:pt idx="132">
                  <c:v>204.0257667837227</c:v>
                </c:pt>
                <c:pt idx="133">
                  <c:v>204.48294266035612</c:v>
                </c:pt>
                <c:pt idx="134">
                  <c:v>204.93897035812836</c:v>
                </c:pt>
                <c:pt idx="135">
                  <c:v>205.39385419702236</c:v>
                </c:pt>
                <c:pt idx="136">
                  <c:v>205.84759847537646</c:v>
                </c:pt>
                <c:pt idx="137">
                  <c:v>206.3002074700199</c:v>
                </c:pt>
                <c:pt idx="138">
                  <c:v>206.75168543640709</c:v>
                </c:pt>
                <c:pt idx="139">
                  <c:v>207.20203660875092</c:v>
                </c:pt>
                <c:pt idx="140">
                  <c:v>207.65126520015528</c:v>
                </c:pt>
                <c:pt idx="141">
                  <c:v>208.09937540274643</c:v>
                </c:pt>
                <c:pt idx="142">
                  <c:v>208.54637138780322</c:v>
                </c:pt>
                <c:pt idx="143">
                  <c:v>208.99225730588674</c:v>
                </c:pt>
                <c:pt idx="144">
                  <c:v>209.43703728696869</c:v>
                </c:pt>
                <c:pt idx="145">
                  <c:v>209.88071544055879</c:v>
                </c:pt>
                <c:pt idx="146">
                  <c:v>210.32329585583156</c:v>
                </c:pt>
                <c:pt idx="147">
                  <c:v>210.76478260175185</c:v>
                </c:pt>
                <c:pt idx="148">
                  <c:v>211.20517972719941</c:v>
                </c:pt>
                <c:pt idx="149">
                  <c:v>211.64449126109284</c:v>
                </c:pt>
                <c:pt idx="150">
                  <c:v>212.0827212125125</c:v>
                </c:pt>
                <c:pt idx="151">
                  <c:v>212.51987357082214</c:v>
                </c:pt>
                <c:pt idx="152">
                  <c:v>212.95595230579033</c:v>
                </c:pt>
                <c:pt idx="153">
                  <c:v>213.14145482293992</c:v>
                </c:pt>
                <c:pt idx="154">
                  <c:v>213.32695734008956</c:v>
                </c:pt>
                <c:pt idx="155">
                  <c:v>213.51245985723912</c:v>
                </c:pt>
                <c:pt idx="156">
                  <c:v>213.69796237438879</c:v>
                </c:pt>
                <c:pt idx="157">
                  <c:v>213.88346489153835</c:v>
                </c:pt>
                <c:pt idx="158">
                  <c:v>214.06896740868802</c:v>
                </c:pt>
                <c:pt idx="159">
                  <c:v>214.25446992583758</c:v>
                </c:pt>
                <c:pt idx="160">
                  <c:v>214.4399724429872</c:v>
                </c:pt>
                <c:pt idx="161">
                  <c:v>214.62547496013681</c:v>
                </c:pt>
                <c:pt idx="162">
                  <c:v>214.81097747728646</c:v>
                </c:pt>
                <c:pt idx="163">
                  <c:v>214.99647999443607</c:v>
                </c:pt>
                <c:pt idx="164">
                  <c:v>215.18198251158566</c:v>
                </c:pt>
                <c:pt idx="165">
                  <c:v>215.36748502873527</c:v>
                </c:pt>
                <c:pt idx="166">
                  <c:v>215.55298754588486</c:v>
                </c:pt>
                <c:pt idx="167">
                  <c:v>215.73849006303448</c:v>
                </c:pt>
                <c:pt idx="168">
                  <c:v>215.92399258018412</c:v>
                </c:pt>
                <c:pt idx="169">
                  <c:v>216.10949509733373</c:v>
                </c:pt>
                <c:pt idx="170">
                  <c:v>216.29499761448329</c:v>
                </c:pt>
                <c:pt idx="171">
                  <c:v>216.48050013163294</c:v>
                </c:pt>
                <c:pt idx="172">
                  <c:v>216.66600264878255</c:v>
                </c:pt>
                <c:pt idx="173">
                  <c:v>216.85150516593217</c:v>
                </c:pt>
                <c:pt idx="174">
                  <c:v>217.03700768308175</c:v>
                </c:pt>
                <c:pt idx="175">
                  <c:v>217.2225102002314</c:v>
                </c:pt>
                <c:pt idx="176">
                  <c:v>217.40801271738101</c:v>
                </c:pt>
                <c:pt idx="177">
                  <c:v>217.5935152345306</c:v>
                </c:pt>
                <c:pt idx="178">
                  <c:v>217.77901775168019</c:v>
                </c:pt>
                <c:pt idx="179">
                  <c:v>217.96452026882983</c:v>
                </c:pt>
                <c:pt idx="180">
                  <c:v>218.15002278597947</c:v>
                </c:pt>
                <c:pt idx="181">
                  <c:v>218.33552530312906</c:v>
                </c:pt>
                <c:pt idx="182">
                  <c:v>218.52102782027868</c:v>
                </c:pt>
              </c:numCache>
            </c:numRef>
          </c:yVal>
          <c:smooth val="0"/>
          <c:extLst>
            <c:ext xmlns:c16="http://schemas.microsoft.com/office/drawing/2014/chart" uri="{C3380CC4-5D6E-409C-BE32-E72D297353CC}">
              <c16:uniqueId val="{00000001-5FD7-4477-BEAC-5CA6616D5AD2}"/>
            </c:ext>
          </c:extLst>
        </c:ser>
        <c:dLbls>
          <c:showLegendKey val="0"/>
          <c:showVal val="0"/>
          <c:showCatName val="0"/>
          <c:showSerName val="0"/>
          <c:showPercent val="0"/>
          <c:showBubbleSize val="0"/>
        </c:dLbls>
        <c:axId val="460435008"/>
        <c:axId val="460433760"/>
      </c:scatterChart>
      <c:scatterChart>
        <c:scatterStyle val="lineMarker"/>
        <c:varyColors val="0"/>
        <c:ser>
          <c:idx val="2"/>
          <c:order val="2"/>
          <c:tx>
            <c:strRef>
              <c:f>'Gas Mkt Stabilisation Chart'!$J$4</c:f>
              <c:strCache>
                <c:ptCount val="1"/>
                <c:pt idx="0">
                  <c:v>MSC (£/MWh)</c:v>
                </c:pt>
              </c:strCache>
            </c:strRef>
          </c:tx>
          <c:spPr>
            <a:ln w="19050" cap="rnd">
              <a:solidFill>
                <a:schemeClr val="accent3"/>
              </a:solidFill>
              <a:round/>
            </a:ln>
            <a:effectLst/>
          </c:spPr>
          <c:marker>
            <c:symbol val="none"/>
          </c:marker>
          <c:xVal>
            <c:numRef>
              <c:f>'Gas Mkt Stabilisation Chart'!$C$5:$C$129</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'Gas Mkt Stabilisation Chart'!$J$5:$J$129</c:f>
              <c:numCache>
                <c:formatCode>0.00</c:formatCode>
                <c:ptCount val="125"/>
                <c:pt idx="0">
                  <c:v>0</c:v>
                </c:pt>
                <c:pt idx="1">
                  <c:v>0</c:v>
                </c:pt>
                <c:pt idx="2">
                  <c:v>0</c:v>
                </c:pt>
                <c:pt idx="3">
                  <c:v>0</c:v>
                </c:pt>
                <c:pt idx="4">
                  <c:v>0</c:v>
                </c:pt>
                <c:pt idx="5">
                  <c:v>0</c:v>
                </c:pt>
                <c:pt idx="6">
                  <c:v>0</c:v>
                </c:pt>
                <c:pt idx="7">
                  <c:v>0</c:v>
                </c:pt>
                <c:pt idx="8">
                  <c:v>0</c:v>
                </c:pt>
                <c:pt idx="9">
                  <c:v>0</c:v>
                </c:pt>
                <c:pt idx="10">
                  <c:v>0.89363331930977674</c:v>
                </c:pt>
                <c:pt idx="11">
                  <c:v>0.89164304465652566</c:v>
                </c:pt>
                <c:pt idx="12">
                  <c:v>0.88965277000327436</c:v>
                </c:pt>
                <c:pt idx="13">
                  <c:v>0.88766249535002328</c:v>
                </c:pt>
                <c:pt idx="14">
                  <c:v>3.1558181959100251</c:v>
                </c:pt>
                <c:pt idx="15">
                  <c:v>3.1486944528041332</c:v>
                </c:pt>
                <c:pt idx="16">
                  <c:v>3.1415707096982417</c:v>
                </c:pt>
                <c:pt idx="17">
                  <c:v>3.1344469665923498</c:v>
                </c:pt>
                <c:pt idx="18">
                  <c:v>3.1273232234864579</c:v>
                </c:pt>
                <c:pt idx="19">
                  <c:v>6.080292542118416</c:v>
                </c:pt>
                <c:pt idx="20">
                  <c:v>6.0663148581135466</c:v>
                </c:pt>
                <c:pt idx="21">
                  <c:v>6.0523371741086756</c:v>
                </c:pt>
                <c:pt idx="22">
                  <c:v>6.0383594901038053</c:v>
                </c:pt>
                <c:pt idx="23">
                  <c:v>8.5208625044211654</c:v>
                </c:pt>
                <c:pt idx="24">
                  <c:v>8.50100035406121</c:v>
                </c:pt>
                <c:pt idx="25">
                  <c:v>8.4811382037012546</c:v>
                </c:pt>
                <c:pt idx="26">
                  <c:v>8.4612760533412974</c:v>
                </c:pt>
                <c:pt idx="27">
                  <c:v>8.4414139029813402</c:v>
                </c:pt>
                <c:pt idx="28">
                  <c:v>10.595371075414713</c:v>
                </c:pt>
                <c:pt idx="29">
                  <c:v>10.570263561017995</c:v>
                </c:pt>
                <c:pt idx="30">
                  <c:v>10.545156046621278</c:v>
                </c:pt>
                <c:pt idx="31">
                  <c:v>10.520048532224562</c:v>
                </c:pt>
                <c:pt idx="32">
                  <c:v>10.520048532224562</c:v>
                </c:pt>
                <c:pt idx="33">
                  <c:v>12.761727295722839</c:v>
                </c:pt>
                <c:pt idx="34">
                  <c:v>12.761727295722839</c:v>
                </c:pt>
                <c:pt idx="35">
                  <c:v>12.761727295722839</c:v>
                </c:pt>
                <c:pt idx="36">
                  <c:v>12.761727295722839</c:v>
                </c:pt>
                <c:pt idx="37">
                  <c:v>12.761727295722839</c:v>
                </c:pt>
                <c:pt idx="38">
                  <c:v>15.01145627133919</c:v>
                </c:pt>
                <c:pt idx="39">
                  <c:v>15.011456271339192</c:v>
                </c:pt>
                <c:pt idx="40">
                  <c:v>18.230337114238271</c:v>
                </c:pt>
                <c:pt idx="41">
                  <c:v>20.320476877641909</c:v>
                </c:pt>
                <c:pt idx="42">
                  <c:v>20.320476877641909</c:v>
                </c:pt>
                <c:pt idx="43">
                  <c:v>20.320476877641909</c:v>
                </c:pt>
                <c:pt idx="44">
                  <c:v>20.320476877641909</c:v>
                </c:pt>
                <c:pt idx="45">
                  <c:v>20.320476877641909</c:v>
                </c:pt>
                <c:pt idx="46">
                  <c:v>22.444778187205436</c:v>
                </c:pt>
                <c:pt idx="47">
                  <c:v>22.444778187205436</c:v>
                </c:pt>
                <c:pt idx="48">
                  <c:v>22.444778187205436</c:v>
                </c:pt>
                <c:pt idx="49">
                  <c:v>22.444778187205436</c:v>
                </c:pt>
                <c:pt idx="50">
                  <c:v>22.444778187205436</c:v>
                </c:pt>
                <c:pt idx="51">
                  <c:v>24.576114765721265</c:v>
                </c:pt>
                <c:pt idx="52">
                  <c:v>24.576114765721265</c:v>
                </c:pt>
                <c:pt idx="53">
                  <c:v>24.576114765721265</c:v>
                </c:pt>
                <c:pt idx="54">
                  <c:v>24.576114765721265</c:v>
                </c:pt>
                <c:pt idx="55">
                  <c:v>24.576114765721265</c:v>
                </c:pt>
                <c:pt idx="56">
                  <c:v>26.509704933321963</c:v>
                </c:pt>
                <c:pt idx="57">
                  <c:v>26.509704933321963</c:v>
                </c:pt>
                <c:pt idx="58">
                  <c:v>26.509704933321963</c:v>
                </c:pt>
                <c:pt idx="59">
                  <c:v>26.509704933321963</c:v>
                </c:pt>
                <c:pt idx="60">
                  <c:v>31.359399050195073</c:v>
                </c:pt>
                <c:pt idx="61">
                  <c:v>33.43799595410394</c:v>
                </c:pt>
                <c:pt idx="62">
                  <c:v>33.43799595410394</c:v>
                </c:pt>
                <c:pt idx="63">
                  <c:v>33.43799595410394</c:v>
                </c:pt>
                <c:pt idx="64">
                  <c:v>33.43799595410394</c:v>
                </c:pt>
                <c:pt idx="65">
                  <c:v>33.43799595410394</c:v>
                </c:pt>
                <c:pt idx="66">
                  <c:v>35.32999977247426</c:v>
                </c:pt>
                <c:pt idx="67">
                  <c:v>35.32999977247426</c:v>
                </c:pt>
                <c:pt idx="68">
                  <c:v>35.32999977247426</c:v>
                </c:pt>
                <c:pt idx="69">
                  <c:v>35.32999977247426</c:v>
                </c:pt>
                <c:pt idx="70">
                  <c:v>35.32999977247426</c:v>
                </c:pt>
                <c:pt idx="71">
                  <c:v>37.054905212024558</c:v>
                </c:pt>
                <c:pt idx="72">
                  <c:v>37.054905212024558</c:v>
                </c:pt>
                <c:pt idx="73">
                  <c:v>37.054905212024558</c:v>
                </c:pt>
                <c:pt idx="74">
                  <c:v>37.054905212024558</c:v>
                </c:pt>
                <c:pt idx="75">
                  <c:v>37.054905212024558</c:v>
                </c:pt>
                <c:pt idx="76">
                  <c:v>38.607866411060812</c:v>
                </c:pt>
                <c:pt idx="77">
                  <c:v>38.607866411060812</c:v>
                </c:pt>
                <c:pt idx="78">
                  <c:v>38.607866411060812</c:v>
                </c:pt>
                <c:pt idx="79">
                  <c:v>38.607866411060812</c:v>
                </c:pt>
                <c:pt idx="80">
                  <c:v>38.607866411060812</c:v>
                </c:pt>
                <c:pt idx="81">
                  <c:v>45.962416805713602</c:v>
                </c:pt>
                <c:pt idx="82">
                  <c:v>45.962416805713588</c:v>
                </c:pt>
                <c:pt idx="83">
                  <c:v>45.962416805713588</c:v>
                </c:pt>
                <c:pt idx="84">
                  <c:v>45.962416805713588</c:v>
                </c:pt>
                <c:pt idx="85">
                  <c:v>45.962416805713602</c:v>
                </c:pt>
                <c:pt idx="86">
                  <c:v>46.885890328988836</c:v>
                </c:pt>
                <c:pt idx="87">
                  <c:v>46.885890328988836</c:v>
                </c:pt>
                <c:pt idx="88">
                  <c:v>46.885890328988836</c:v>
                </c:pt>
                <c:pt idx="89">
                  <c:v>46.885890328988836</c:v>
                </c:pt>
                <c:pt idx="90">
                  <c:v>46.885890328988836</c:v>
                </c:pt>
                <c:pt idx="91">
                  <c:v>44.920104927322555</c:v>
                </c:pt>
                <c:pt idx="92">
                  <c:v>44.920104927322555</c:v>
                </c:pt>
                <c:pt idx="93">
                  <c:v>44.920104927322555</c:v>
                </c:pt>
                <c:pt idx="94">
                  <c:v>44.920104927322548</c:v>
                </c:pt>
                <c:pt idx="95">
                  <c:v>44.920104927322548</c:v>
                </c:pt>
                <c:pt idx="96">
                  <c:v>46.536316148915496</c:v>
                </c:pt>
                <c:pt idx="97">
                  <c:v>46.536316148915496</c:v>
                </c:pt>
                <c:pt idx="98">
                  <c:v>46.536316148915496</c:v>
                </c:pt>
                <c:pt idx="99">
                  <c:v>46.536316148915496</c:v>
                </c:pt>
                <c:pt idx="100">
                  <c:v>46.536316148915489</c:v>
                </c:pt>
                <c:pt idx="101">
                  <c:v>48.025379615500775</c:v>
                </c:pt>
                <c:pt idx="102">
                  <c:v>48.025379615500775</c:v>
                </c:pt>
                <c:pt idx="103">
                  <c:v>51.825957745861864</c:v>
                </c:pt>
                <c:pt idx="104">
                  <c:v>51.825957745861864</c:v>
                </c:pt>
                <c:pt idx="105">
                  <c:v>53.237799331654415</c:v>
                </c:pt>
                <c:pt idx="106">
                  <c:v>53.237799331654415</c:v>
                </c:pt>
                <c:pt idx="107">
                  <c:v>53.237799331654415</c:v>
                </c:pt>
                <c:pt idx="108">
                  <c:v>53.237799331654415</c:v>
                </c:pt>
                <c:pt idx="109">
                  <c:v>53.237799331654415</c:v>
                </c:pt>
                <c:pt idx="110">
                  <c:v>54.278566860681643</c:v>
                </c:pt>
                <c:pt idx="111">
                  <c:v>54.278566860681643</c:v>
                </c:pt>
                <c:pt idx="112">
                  <c:v>54.278566860681643</c:v>
                </c:pt>
                <c:pt idx="113">
                  <c:v>54.278566860681643</c:v>
                </c:pt>
                <c:pt idx="114">
                  <c:v>54.278566860681643</c:v>
                </c:pt>
                <c:pt idx="115">
                  <c:v>55.341986862396304</c:v>
                </c:pt>
                <c:pt idx="116">
                  <c:v>55.341986862396304</c:v>
                </c:pt>
                <c:pt idx="117">
                  <c:v>55.341986862396304</c:v>
                </c:pt>
                <c:pt idx="118">
                  <c:v>55.341986862396304</c:v>
                </c:pt>
                <c:pt idx="119">
                  <c:v>55.341986862396304</c:v>
                </c:pt>
                <c:pt idx="120">
                  <c:v>53.246678082620697</c:v>
                </c:pt>
                <c:pt idx="121">
                  <c:v>53.246678082620697</c:v>
                </c:pt>
                <c:pt idx="122">
                  <c:v>53.246678082620704</c:v>
                </c:pt>
                <c:pt idx="123">
                  <c:v>53.246678082620704</c:v>
                </c:pt>
                <c:pt idx="124">
                  <c:v>53.246678082620704</c:v>
                </c:pt>
              </c:numCache>
            </c:numRef>
          </c:yVal>
          <c:smooth val="0"/>
          <c:extLst>
            <c:ext xmlns:c16="http://schemas.microsoft.com/office/drawing/2014/chart" uri="{C3380CC4-5D6E-409C-BE32-E72D297353CC}">
              <c16:uniqueId val="{00000002-5FD7-4477-BEAC-5CA6616D5AD2}"/>
            </c:ext>
          </c:extLst>
        </c:ser>
        <c:dLbls>
          <c:showLegendKey val="0"/>
          <c:showVal val="0"/>
          <c:showCatName val="0"/>
          <c:showSerName val="0"/>
          <c:showPercent val="0"/>
          <c:showBubbleSize val="0"/>
        </c:dLbls>
        <c:axId val="1123252735"/>
        <c:axId val="1123250239"/>
      </c:scatterChart>
      <c:valAx>
        <c:axId val="460435008"/>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3760"/>
        <c:crosses val="autoZero"/>
        <c:crossBetween val="midCat"/>
        <c:majorUnit val="31"/>
      </c:valAx>
      <c:valAx>
        <c:axId val="460433760"/>
        <c:scaling>
          <c:orientation val="minMax"/>
        </c:scaling>
        <c:delete val="0"/>
        <c:axPos val="l"/>
        <c:majorGridlines>
          <c:spPr>
            <a:ln w="9525" cap="flat" cmpd="sng" algn="ctr">
              <a:solidFill>
                <a:schemeClr val="tx1">
                  <a:lumMod val="15000"/>
                  <a:lumOff val="85000"/>
                </a:schemeClr>
              </a:solidFill>
              <a:round/>
            </a:ln>
            <a:effectLst/>
          </c:spPr>
        </c:majorGridlines>
        <c:title>
          <c:tx>
            <c:strRef>
              <c:f>'Elec Calculations'!$B$35</c:f>
              <c:strCache>
                <c:ptCount val="1"/>
                <c:pt idx="0">
                  <c:v>Wholesale Electric cost £/MWh</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5008"/>
        <c:crosses val="autoZero"/>
        <c:crossBetween val="midCat"/>
      </c:valAx>
      <c:valAx>
        <c:axId val="11232502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Market Stabilisation</a:t>
                </a:r>
                <a:r>
                  <a:rPr lang="en-GB" baseline="0"/>
                  <a:t> Charge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3252735"/>
        <c:crosses val="max"/>
        <c:crossBetween val="midCat"/>
      </c:valAx>
      <c:valAx>
        <c:axId val="1123252735"/>
        <c:scaling>
          <c:orientation val="minMax"/>
        </c:scaling>
        <c:delete val="1"/>
        <c:axPos val="b"/>
        <c:numFmt formatCode="m/d/yyyy" sourceLinked="1"/>
        <c:majorTickMark val="out"/>
        <c:minorTickMark val="none"/>
        <c:tickLblPos val="nextTo"/>
        <c:crossAx val="11232502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Price cap index &amp; trigger point over time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Price cap index</c:v>
          </c:tx>
          <c:spPr>
            <a:ln w="19050" cap="rnd">
              <a:solidFill>
                <a:schemeClr val="accent1"/>
              </a:solidFill>
              <a:round/>
            </a:ln>
            <a:effectLst/>
          </c:spPr>
          <c:marker>
            <c:symbol val="none"/>
          </c:marker>
          <c:xVal>
            <c:numRef>
              <c:f>'Gas Wpc'!$D$22:$D$204</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'Gas Wpc'!$U$22:$U$204</c:f>
              <c:numCache>
                <c:formatCode>0.00</c:formatCode>
                <c:ptCount val="183"/>
                <c:pt idx="0">
                  <c:v>0</c:v>
                </c:pt>
                <c:pt idx="1">
                  <c:v>0</c:v>
                </c:pt>
                <c:pt idx="2">
                  <c:v>216.28725025672321</c:v>
                </c:pt>
                <c:pt idx="3">
                  <c:v>216.28725025672321</c:v>
                </c:pt>
                <c:pt idx="4">
                  <c:v>216.28725025672321</c:v>
                </c:pt>
                <c:pt idx="5">
                  <c:v>216.28725025672321</c:v>
                </c:pt>
                <c:pt idx="6">
                  <c:v>216.28725025672321</c:v>
                </c:pt>
                <c:pt idx="7">
                  <c:v>216.28725025672321</c:v>
                </c:pt>
                <c:pt idx="8">
                  <c:v>216.28725025672321</c:v>
                </c:pt>
                <c:pt idx="9">
                  <c:v>219.95581604646424</c:v>
                </c:pt>
                <c:pt idx="10">
                  <c:v>219.95581604646424</c:v>
                </c:pt>
                <c:pt idx="11">
                  <c:v>219.95581604646424</c:v>
                </c:pt>
                <c:pt idx="12">
                  <c:v>219.95581604646424</c:v>
                </c:pt>
                <c:pt idx="13">
                  <c:v>219.95581604646424</c:v>
                </c:pt>
                <c:pt idx="14">
                  <c:v>219.95581604646424</c:v>
                </c:pt>
                <c:pt idx="15">
                  <c:v>219.95581604646424</c:v>
                </c:pt>
                <c:pt idx="16">
                  <c:v>224.64114110716108</c:v>
                </c:pt>
                <c:pt idx="17">
                  <c:v>224.64114110716108</c:v>
                </c:pt>
                <c:pt idx="18">
                  <c:v>224.64114110716108</c:v>
                </c:pt>
                <c:pt idx="19">
                  <c:v>224.64114110716108</c:v>
                </c:pt>
                <c:pt idx="20">
                  <c:v>224.64114110716108</c:v>
                </c:pt>
                <c:pt idx="21">
                  <c:v>224.64114110716108</c:v>
                </c:pt>
                <c:pt idx="22">
                  <c:v>224.64114110716108</c:v>
                </c:pt>
                <c:pt idx="23">
                  <c:v>230.27455113352596</c:v>
                </c:pt>
                <c:pt idx="24">
                  <c:v>230.27455113352596</c:v>
                </c:pt>
                <c:pt idx="25">
                  <c:v>230.27455113352596</c:v>
                </c:pt>
                <c:pt idx="26">
                  <c:v>230.27455113352596</c:v>
                </c:pt>
                <c:pt idx="27">
                  <c:v>230.27455113352596</c:v>
                </c:pt>
                <c:pt idx="28">
                  <c:v>230.27455113352596</c:v>
                </c:pt>
                <c:pt idx="29">
                  <c:v>230.27455113352596</c:v>
                </c:pt>
                <c:pt idx="30">
                  <c:v>234.74712465242175</c:v>
                </c:pt>
                <c:pt idx="31">
                  <c:v>234.74712465242175</c:v>
                </c:pt>
                <c:pt idx="32">
                  <c:v>234.74712465242175</c:v>
                </c:pt>
                <c:pt idx="33">
                  <c:v>234.74712465242175</c:v>
                </c:pt>
                <c:pt idx="34">
                  <c:v>234.74712465242175</c:v>
                </c:pt>
                <c:pt idx="35">
                  <c:v>234.74712465242175</c:v>
                </c:pt>
                <c:pt idx="36">
                  <c:v>234.74712465242175</c:v>
                </c:pt>
                <c:pt idx="37">
                  <c:v>239.79782829378377</c:v>
                </c:pt>
                <c:pt idx="38">
                  <c:v>239.79782829378377</c:v>
                </c:pt>
                <c:pt idx="39">
                  <c:v>239.79782829378377</c:v>
                </c:pt>
                <c:pt idx="40">
                  <c:v>239.79782829378377</c:v>
                </c:pt>
                <c:pt idx="41">
                  <c:v>239.79782829378377</c:v>
                </c:pt>
                <c:pt idx="42">
                  <c:v>239.79782829378377</c:v>
                </c:pt>
                <c:pt idx="43">
                  <c:v>239.79782829378377</c:v>
                </c:pt>
                <c:pt idx="44">
                  <c:v>244.07991157223347</c:v>
                </c:pt>
                <c:pt idx="45">
                  <c:v>244.07991157223347</c:v>
                </c:pt>
                <c:pt idx="46">
                  <c:v>244.07991157223347</c:v>
                </c:pt>
                <c:pt idx="47">
                  <c:v>244.07991157223347</c:v>
                </c:pt>
                <c:pt idx="48">
                  <c:v>244.07991157223347</c:v>
                </c:pt>
                <c:pt idx="49">
                  <c:v>244.07991157223347</c:v>
                </c:pt>
                <c:pt idx="50">
                  <c:v>244.07991157223347</c:v>
                </c:pt>
                <c:pt idx="51">
                  <c:v>248.65694618137454</c:v>
                </c:pt>
                <c:pt idx="52">
                  <c:v>248.65694618137454</c:v>
                </c:pt>
                <c:pt idx="53">
                  <c:v>248.65694618137454</c:v>
                </c:pt>
                <c:pt idx="54">
                  <c:v>248.65694618137454</c:v>
                </c:pt>
                <c:pt idx="55">
                  <c:v>248.65694618137454</c:v>
                </c:pt>
                <c:pt idx="56">
                  <c:v>248.65694618137454</c:v>
                </c:pt>
                <c:pt idx="57">
                  <c:v>248.65694618137454</c:v>
                </c:pt>
                <c:pt idx="58">
                  <c:v>254.65710137913894</c:v>
                </c:pt>
                <c:pt idx="59">
                  <c:v>254.65710137913894</c:v>
                </c:pt>
                <c:pt idx="60">
                  <c:v>254.65710137913894</c:v>
                </c:pt>
                <c:pt idx="61">
                  <c:v>254.65710137913894</c:v>
                </c:pt>
                <c:pt idx="62">
                  <c:v>254.65710137913894</c:v>
                </c:pt>
                <c:pt idx="63">
                  <c:v>254.65710137913894</c:v>
                </c:pt>
                <c:pt idx="64">
                  <c:v>254.65710137913894</c:v>
                </c:pt>
                <c:pt idx="65">
                  <c:v>259.74379573296505</c:v>
                </c:pt>
                <c:pt idx="66">
                  <c:v>259.74379573296505</c:v>
                </c:pt>
                <c:pt idx="67">
                  <c:v>259.74379573296505</c:v>
                </c:pt>
                <c:pt idx="68">
                  <c:v>259.74379573296505</c:v>
                </c:pt>
                <c:pt idx="69">
                  <c:v>259.74379573296505</c:v>
                </c:pt>
                <c:pt idx="70">
                  <c:v>259.74379573296505</c:v>
                </c:pt>
                <c:pt idx="71">
                  <c:v>259.74379573296505</c:v>
                </c:pt>
                <c:pt idx="72">
                  <c:v>266.0246512818768</c:v>
                </c:pt>
                <c:pt idx="73">
                  <c:v>266.0246512818768</c:v>
                </c:pt>
                <c:pt idx="74">
                  <c:v>266.0246512818768</c:v>
                </c:pt>
                <c:pt idx="75">
                  <c:v>266.0246512818768</c:v>
                </c:pt>
                <c:pt idx="76">
                  <c:v>266.0246512818768</c:v>
                </c:pt>
                <c:pt idx="77">
                  <c:v>266.0246512818768</c:v>
                </c:pt>
                <c:pt idx="78">
                  <c:v>266.0246512818768</c:v>
                </c:pt>
                <c:pt idx="79">
                  <c:v>271.1159447881231</c:v>
                </c:pt>
                <c:pt idx="80">
                  <c:v>271.1159447881231</c:v>
                </c:pt>
                <c:pt idx="81">
                  <c:v>271.1159447881231</c:v>
                </c:pt>
                <c:pt idx="82">
                  <c:v>271.1159447881231</c:v>
                </c:pt>
                <c:pt idx="83">
                  <c:v>271.1159447881231</c:v>
                </c:pt>
                <c:pt idx="84">
                  <c:v>271.1159447881231</c:v>
                </c:pt>
                <c:pt idx="85">
                  <c:v>271.1159447881231</c:v>
                </c:pt>
                <c:pt idx="86">
                  <c:v>275.8653080612836</c:v>
                </c:pt>
                <c:pt idx="87">
                  <c:v>275.8653080612836</c:v>
                </c:pt>
                <c:pt idx="88">
                  <c:v>275.8653080612836</c:v>
                </c:pt>
                <c:pt idx="89">
                  <c:v>275.8653080612836</c:v>
                </c:pt>
                <c:pt idx="90">
                  <c:v>275.8653080612836</c:v>
                </c:pt>
                <c:pt idx="91">
                  <c:v>275.8653080612836</c:v>
                </c:pt>
                <c:pt idx="92">
                  <c:v>275.8653080612836</c:v>
                </c:pt>
                <c:pt idx="93">
                  <c:v>280.30606937198434</c:v>
                </c:pt>
                <c:pt idx="94">
                  <c:v>280.30606937198434</c:v>
                </c:pt>
                <c:pt idx="95">
                  <c:v>280.30606937198434</c:v>
                </c:pt>
                <c:pt idx="96">
                  <c:v>280.30606937198434</c:v>
                </c:pt>
                <c:pt idx="97">
                  <c:v>280.30606937198434</c:v>
                </c:pt>
                <c:pt idx="98">
                  <c:v>280.30606937198434</c:v>
                </c:pt>
                <c:pt idx="99">
                  <c:v>280.30606937198434</c:v>
                </c:pt>
                <c:pt idx="100">
                  <c:v>284.46736173603006</c:v>
                </c:pt>
                <c:pt idx="101">
                  <c:v>284.46736173603006</c:v>
                </c:pt>
                <c:pt idx="102">
                  <c:v>284.46736173603006</c:v>
                </c:pt>
                <c:pt idx="103">
                  <c:v>284.46736173603006</c:v>
                </c:pt>
                <c:pt idx="104">
                  <c:v>284.46736173603006</c:v>
                </c:pt>
                <c:pt idx="105">
                  <c:v>284.46736173603006</c:v>
                </c:pt>
                <c:pt idx="106">
                  <c:v>284.46736173603006</c:v>
                </c:pt>
                <c:pt idx="107">
                  <c:v>288.37476290581969</c:v>
                </c:pt>
                <c:pt idx="108">
                  <c:v>288.37476290581969</c:v>
                </c:pt>
                <c:pt idx="109">
                  <c:v>288.37476290581969</c:v>
                </c:pt>
                <c:pt idx="110">
                  <c:v>288.37476290581969</c:v>
                </c:pt>
                <c:pt idx="111">
                  <c:v>288.37476290581969</c:v>
                </c:pt>
                <c:pt idx="112">
                  <c:v>288.37476290581969</c:v>
                </c:pt>
                <c:pt idx="113">
                  <c:v>288.37476290581969</c:v>
                </c:pt>
                <c:pt idx="114">
                  <c:v>292.05082166858563</c:v>
                </c:pt>
                <c:pt idx="115">
                  <c:v>292.05082166858563</c:v>
                </c:pt>
                <c:pt idx="116">
                  <c:v>292.05082166858563</c:v>
                </c:pt>
                <c:pt idx="117">
                  <c:v>292.05082166858563</c:v>
                </c:pt>
                <c:pt idx="118">
                  <c:v>292.05082166858563</c:v>
                </c:pt>
                <c:pt idx="119">
                  <c:v>292.05082166858563</c:v>
                </c:pt>
                <c:pt idx="120">
                  <c:v>292.05082166858563</c:v>
                </c:pt>
                <c:pt idx="121">
                  <c:v>295.51549333820856</c:v>
                </c:pt>
                <c:pt idx="122">
                  <c:v>295.51549333820856</c:v>
                </c:pt>
                <c:pt idx="123">
                  <c:v>295.51549333820856</c:v>
                </c:pt>
                <c:pt idx="124">
                  <c:v>295.51549333820856</c:v>
                </c:pt>
                <c:pt idx="125">
                  <c:v>295.51549333820856</c:v>
                </c:pt>
                <c:pt idx="126">
                  <c:v>295.51549333820856</c:v>
                </c:pt>
                <c:pt idx="127">
                  <c:v>295.51549333820856</c:v>
                </c:pt>
                <c:pt idx="128">
                  <c:v>298.78650220904927</c:v>
                </c:pt>
                <c:pt idx="129">
                  <c:v>298.78650220904927</c:v>
                </c:pt>
                <c:pt idx="130">
                  <c:v>298.78650220904927</c:v>
                </c:pt>
                <c:pt idx="131">
                  <c:v>298.78650220904927</c:v>
                </c:pt>
                <c:pt idx="132">
                  <c:v>298.78650220904927</c:v>
                </c:pt>
                <c:pt idx="133">
                  <c:v>298.78650220904927</c:v>
                </c:pt>
                <c:pt idx="134">
                  <c:v>298.78650220904927</c:v>
                </c:pt>
                <c:pt idx="135">
                  <c:v>301.87964487466854</c:v>
                </c:pt>
                <c:pt idx="136">
                  <c:v>301.87964487466854</c:v>
                </c:pt>
                <c:pt idx="137">
                  <c:v>301.87964487466854</c:v>
                </c:pt>
                <c:pt idx="138">
                  <c:v>301.87964487466854</c:v>
                </c:pt>
                <c:pt idx="139">
                  <c:v>301.87964487466854</c:v>
                </c:pt>
                <c:pt idx="140">
                  <c:v>301.87964487466854</c:v>
                </c:pt>
                <c:pt idx="141">
                  <c:v>301.87964487466854</c:v>
                </c:pt>
                <c:pt idx="142">
                  <c:v>304.80904536979625</c:v>
                </c:pt>
                <c:pt idx="143">
                  <c:v>304.80904536979625</c:v>
                </c:pt>
                <c:pt idx="144">
                  <c:v>304.80904536979625</c:v>
                </c:pt>
                <c:pt idx="145">
                  <c:v>304.80904536979625</c:v>
                </c:pt>
                <c:pt idx="146">
                  <c:v>304.80904536979625</c:v>
                </c:pt>
                <c:pt idx="147">
                  <c:v>304.80904536979625</c:v>
                </c:pt>
                <c:pt idx="148">
                  <c:v>304.80904536979625</c:v>
                </c:pt>
                <c:pt idx="149">
                  <c:v>307.58737083290896</c:v>
                </c:pt>
                <c:pt idx="150">
                  <c:v>307.58737083290896</c:v>
                </c:pt>
                <c:pt idx="151">
                  <c:v>307.58737083290896</c:v>
                </c:pt>
                <c:pt idx="152">
                  <c:v>307.58737083290896</c:v>
                </c:pt>
                <c:pt idx="153">
                  <c:v>307.58737083290896</c:v>
                </c:pt>
                <c:pt idx="154">
                  <c:v>307.58737083290896</c:v>
                </c:pt>
                <c:pt idx="155">
                  <c:v>307.58737083290896</c:v>
                </c:pt>
                <c:pt idx="156">
                  <c:v>310.32163340803595</c:v>
                </c:pt>
                <c:pt idx="157">
                  <c:v>310.32163340803595</c:v>
                </c:pt>
                <c:pt idx="158">
                  <c:v>310.32163340803595</c:v>
                </c:pt>
                <c:pt idx="159">
                  <c:v>310.32163340803595</c:v>
                </c:pt>
                <c:pt idx="160">
                  <c:v>310.32163340803595</c:v>
                </c:pt>
                <c:pt idx="161">
                  <c:v>310.32163340803595</c:v>
                </c:pt>
                <c:pt idx="162">
                  <c:v>310.32163340803595</c:v>
                </c:pt>
                <c:pt idx="163">
                  <c:v>311.95692658761163</c:v>
                </c:pt>
                <c:pt idx="164">
                  <c:v>311.95692658761163</c:v>
                </c:pt>
                <c:pt idx="165">
                  <c:v>311.95692658761163</c:v>
                </c:pt>
                <c:pt idx="166">
                  <c:v>311.95692658761163</c:v>
                </c:pt>
                <c:pt idx="167">
                  <c:v>311.95692658761163</c:v>
                </c:pt>
                <c:pt idx="168">
                  <c:v>311.95692658761163</c:v>
                </c:pt>
                <c:pt idx="169">
                  <c:v>311.95692658761163</c:v>
                </c:pt>
                <c:pt idx="170">
                  <c:v>313.68519956339196</c:v>
                </c:pt>
                <c:pt idx="171">
                  <c:v>313.68519956339196</c:v>
                </c:pt>
                <c:pt idx="172">
                  <c:v>313.68519956339196</c:v>
                </c:pt>
                <c:pt idx="173">
                  <c:v>313.68519956339196</c:v>
                </c:pt>
                <c:pt idx="174">
                  <c:v>313.68519956339196</c:v>
                </c:pt>
                <c:pt idx="175">
                  <c:v>313.68519956339196</c:v>
                </c:pt>
                <c:pt idx="176">
                  <c:v>313.68519956339196</c:v>
                </c:pt>
                <c:pt idx="177">
                  <c:v>315.41347253917223</c:v>
                </c:pt>
                <c:pt idx="178">
                  <c:v>315.41347253917223</c:v>
                </c:pt>
                <c:pt idx="179">
                  <c:v>315.41347253917223</c:v>
                </c:pt>
                <c:pt idx="180">
                  <c:v>315.41347253917223</c:v>
                </c:pt>
                <c:pt idx="181">
                  <c:v>315.41347253917223</c:v>
                </c:pt>
                <c:pt idx="182">
                  <c:v>315.41347253917223</c:v>
                </c:pt>
              </c:numCache>
            </c:numRef>
          </c:yVal>
          <c:smooth val="0"/>
          <c:extLst>
            <c:ext xmlns:c16="http://schemas.microsoft.com/office/drawing/2014/chart" uri="{C3380CC4-5D6E-409C-BE32-E72D297353CC}">
              <c16:uniqueId val="{00000000-56EE-4877-A07F-CD589ACD181A}"/>
            </c:ext>
          </c:extLst>
        </c:ser>
        <c:ser>
          <c:idx val="1"/>
          <c:order val="1"/>
          <c:tx>
            <c:v>Trigger point</c:v>
          </c:tx>
          <c:spPr>
            <a:ln w="19050" cap="rnd">
              <a:solidFill>
                <a:schemeClr val="accent2"/>
              </a:solidFill>
              <a:round/>
            </a:ln>
            <a:effectLst/>
          </c:spPr>
          <c:marker>
            <c:symbol val="none"/>
          </c:marker>
          <c:xVal>
            <c:numRef>
              <c:f>'Gas Wpc'!$D$22:$D$204</c:f>
              <c:numCache>
                <c:formatCode>m/d/yyyy</c:formatCode>
                <c:ptCount val="183"/>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pt idx="91">
                  <c:v>44743</c:v>
                </c:pt>
                <c:pt idx="92">
                  <c:v>44744</c:v>
                </c:pt>
                <c:pt idx="93">
                  <c:v>44745</c:v>
                </c:pt>
                <c:pt idx="94">
                  <c:v>44746</c:v>
                </c:pt>
                <c:pt idx="95">
                  <c:v>44747</c:v>
                </c:pt>
                <c:pt idx="96">
                  <c:v>44748</c:v>
                </c:pt>
                <c:pt idx="97">
                  <c:v>44749</c:v>
                </c:pt>
                <c:pt idx="98">
                  <c:v>44750</c:v>
                </c:pt>
                <c:pt idx="99">
                  <c:v>44751</c:v>
                </c:pt>
                <c:pt idx="100">
                  <c:v>44752</c:v>
                </c:pt>
                <c:pt idx="101">
                  <c:v>44753</c:v>
                </c:pt>
                <c:pt idx="102">
                  <c:v>44754</c:v>
                </c:pt>
                <c:pt idx="103">
                  <c:v>44755</c:v>
                </c:pt>
                <c:pt idx="104">
                  <c:v>44756</c:v>
                </c:pt>
                <c:pt idx="105">
                  <c:v>44757</c:v>
                </c:pt>
                <c:pt idx="106">
                  <c:v>44758</c:v>
                </c:pt>
                <c:pt idx="107">
                  <c:v>44759</c:v>
                </c:pt>
                <c:pt idx="108">
                  <c:v>44760</c:v>
                </c:pt>
                <c:pt idx="109">
                  <c:v>44761</c:v>
                </c:pt>
                <c:pt idx="110">
                  <c:v>44762</c:v>
                </c:pt>
                <c:pt idx="111">
                  <c:v>44763</c:v>
                </c:pt>
                <c:pt idx="112">
                  <c:v>44764</c:v>
                </c:pt>
                <c:pt idx="113">
                  <c:v>44765</c:v>
                </c:pt>
                <c:pt idx="114">
                  <c:v>44766</c:v>
                </c:pt>
                <c:pt idx="115">
                  <c:v>44767</c:v>
                </c:pt>
                <c:pt idx="116">
                  <c:v>44768</c:v>
                </c:pt>
                <c:pt idx="117">
                  <c:v>44769</c:v>
                </c:pt>
                <c:pt idx="118">
                  <c:v>44770</c:v>
                </c:pt>
                <c:pt idx="119">
                  <c:v>44771</c:v>
                </c:pt>
                <c:pt idx="120">
                  <c:v>44772</c:v>
                </c:pt>
                <c:pt idx="121">
                  <c:v>44773</c:v>
                </c:pt>
                <c:pt idx="122">
                  <c:v>44774</c:v>
                </c:pt>
                <c:pt idx="123">
                  <c:v>44775</c:v>
                </c:pt>
                <c:pt idx="124">
                  <c:v>44776</c:v>
                </c:pt>
                <c:pt idx="125">
                  <c:v>44777</c:v>
                </c:pt>
                <c:pt idx="126">
                  <c:v>44778</c:v>
                </c:pt>
                <c:pt idx="127">
                  <c:v>44779</c:v>
                </c:pt>
                <c:pt idx="128">
                  <c:v>44780</c:v>
                </c:pt>
                <c:pt idx="129">
                  <c:v>44781</c:v>
                </c:pt>
                <c:pt idx="130">
                  <c:v>44782</c:v>
                </c:pt>
                <c:pt idx="131">
                  <c:v>44783</c:v>
                </c:pt>
                <c:pt idx="132">
                  <c:v>44784</c:v>
                </c:pt>
                <c:pt idx="133">
                  <c:v>44785</c:v>
                </c:pt>
                <c:pt idx="134">
                  <c:v>44786</c:v>
                </c:pt>
                <c:pt idx="135">
                  <c:v>44787</c:v>
                </c:pt>
                <c:pt idx="136">
                  <c:v>44788</c:v>
                </c:pt>
                <c:pt idx="137">
                  <c:v>44789</c:v>
                </c:pt>
                <c:pt idx="138">
                  <c:v>44790</c:v>
                </c:pt>
                <c:pt idx="139">
                  <c:v>44791</c:v>
                </c:pt>
                <c:pt idx="140">
                  <c:v>44792</c:v>
                </c:pt>
                <c:pt idx="141">
                  <c:v>44793</c:v>
                </c:pt>
                <c:pt idx="142">
                  <c:v>44794</c:v>
                </c:pt>
                <c:pt idx="143">
                  <c:v>44795</c:v>
                </c:pt>
                <c:pt idx="144">
                  <c:v>44796</c:v>
                </c:pt>
                <c:pt idx="145">
                  <c:v>44797</c:v>
                </c:pt>
                <c:pt idx="146">
                  <c:v>44798</c:v>
                </c:pt>
                <c:pt idx="147">
                  <c:v>44799</c:v>
                </c:pt>
                <c:pt idx="148">
                  <c:v>44800</c:v>
                </c:pt>
                <c:pt idx="149">
                  <c:v>44801</c:v>
                </c:pt>
                <c:pt idx="150">
                  <c:v>44802</c:v>
                </c:pt>
                <c:pt idx="151">
                  <c:v>44803</c:v>
                </c:pt>
                <c:pt idx="152">
                  <c:v>44804</c:v>
                </c:pt>
                <c:pt idx="153">
                  <c:v>44805</c:v>
                </c:pt>
                <c:pt idx="154">
                  <c:v>44806</c:v>
                </c:pt>
                <c:pt idx="155">
                  <c:v>44807</c:v>
                </c:pt>
                <c:pt idx="156">
                  <c:v>44808</c:v>
                </c:pt>
                <c:pt idx="157">
                  <c:v>44809</c:v>
                </c:pt>
                <c:pt idx="158">
                  <c:v>44810</c:v>
                </c:pt>
                <c:pt idx="159">
                  <c:v>44811</c:v>
                </c:pt>
                <c:pt idx="160">
                  <c:v>44812</c:v>
                </c:pt>
                <c:pt idx="161">
                  <c:v>44813</c:v>
                </c:pt>
                <c:pt idx="162">
                  <c:v>44814</c:v>
                </c:pt>
                <c:pt idx="163">
                  <c:v>44815</c:v>
                </c:pt>
                <c:pt idx="164">
                  <c:v>44816</c:v>
                </c:pt>
                <c:pt idx="165">
                  <c:v>44817</c:v>
                </c:pt>
                <c:pt idx="166">
                  <c:v>44818</c:v>
                </c:pt>
                <c:pt idx="167">
                  <c:v>44819</c:v>
                </c:pt>
                <c:pt idx="168">
                  <c:v>44820</c:v>
                </c:pt>
                <c:pt idx="169">
                  <c:v>44821</c:v>
                </c:pt>
                <c:pt idx="170">
                  <c:v>44822</c:v>
                </c:pt>
                <c:pt idx="171">
                  <c:v>44823</c:v>
                </c:pt>
                <c:pt idx="172">
                  <c:v>44824</c:v>
                </c:pt>
                <c:pt idx="173">
                  <c:v>44825</c:v>
                </c:pt>
                <c:pt idx="174">
                  <c:v>44826</c:v>
                </c:pt>
                <c:pt idx="175">
                  <c:v>44827</c:v>
                </c:pt>
                <c:pt idx="176">
                  <c:v>44828</c:v>
                </c:pt>
                <c:pt idx="177">
                  <c:v>44829</c:v>
                </c:pt>
                <c:pt idx="178">
                  <c:v>44830</c:v>
                </c:pt>
                <c:pt idx="179">
                  <c:v>44831</c:v>
                </c:pt>
                <c:pt idx="180">
                  <c:v>44832</c:v>
                </c:pt>
                <c:pt idx="181">
                  <c:v>44833</c:v>
                </c:pt>
                <c:pt idx="182">
                  <c:v>44834</c:v>
                </c:pt>
              </c:numCache>
            </c:numRef>
          </c:xVal>
          <c:yVal>
            <c:numRef>
              <c:f>'Gas Wpc'!$V$22:$V$204</c:f>
              <c:numCache>
                <c:formatCode>0.00</c:formatCode>
                <c:ptCount val="183"/>
                <c:pt idx="0">
                  <c:v>0</c:v>
                </c:pt>
                <c:pt idx="1">
                  <c:v>0</c:v>
                </c:pt>
                <c:pt idx="2">
                  <c:v>194.6585252310509</c:v>
                </c:pt>
                <c:pt idx="3">
                  <c:v>194.6585252310509</c:v>
                </c:pt>
                <c:pt idx="4">
                  <c:v>194.6585252310509</c:v>
                </c:pt>
                <c:pt idx="5">
                  <c:v>194.6585252310509</c:v>
                </c:pt>
                <c:pt idx="6">
                  <c:v>194.6585252310509</c:v>
                </c:pt>
                <c:pt idx="7">
                  <c:v>194.6585252310509</c:v>
                </c:pt>
                <c:pt idx="8">
                  <c:v>194.6585252310509</c:v>
                </c:pt>
                <c:pt idx="9">
                  <c:v>197.96023444181782</c:v>
                </c:pt>
                <c:pt idx="10">
                  <c:v>197.96023444181782</c:v>
                </c:pt>
                <c:pt idx="11">
                  <c:v>197.96023444181782</c:v>
                </c:pt>
                <c:pt idx="12">
                  <c:v>197.96023444181782</c:v>
                </c:pt>
                <c:pt idx="13">
                  <c:v>197.96023444181782</c:v>
                </c:pt>
                <c:pt idx="14">
                  <c:v>197.96023444181782</c:v>
                </c:pt>
                <c:pt idx="15">
                  <c:v>197.96023444181782</c:v>
                </c:pt>
                <c:pt idx="16">
                  <c:v>202.17702699644497</c:v>
                </c:pt>
                <c:pt idx="17">
                  <c:v>202.17702699644497</c:v>
                </c:pt>
                <c:pt idx="18">
                  <c:v>202.17702699644497</c:v>
                </c:pt>
                <c:pt idx="19">
                  <c:v>202.17702699644497</c:v>
                </c:pt>
                <c:pt idx="20">
                  <c:v>202.17702699644497</c:v>
                </c:pt>
                <c:pt idx="21">
                  <c:v>202.17702699644497</c:v>
                </c:pt>
                <c:pt idx="22">
                  <c:v>202.17702699644497</c:v>
                </c:pt>
                <c:pt idx="23">
                  <c:v>207.24709602017339</c:v>
                </c:pt>
                <c:pt idx="24">
                  <c:v>207.24709602017339</c:v>
                </c:pt>
                <c:pt idx="25">
                  <c:v>207.24709602017339</c:v>
                </c:pt>
                <c:pt idx="26">
                  <c:v>207.24709602017339</c:v>
                </c:pt>
                <c:pt idx="27">
                  <c:v>207.24709602017339</c:v>
                </c:pt>
                <c:pt idx="28">
                  <c:v>207.24709602017339</c:v>
                </c:pt>
                <c:pt idx="29">
                  <c:v>207.24709602017339</c:v>
                </c:pt>
                <c:pt idx="30">
                  <c:v>211.27241218717955</c:v>
                </c:pt>
                <c:pt idx="31">
                  <c:v>211.27241218717955</c:v>
                </c:pt>
                <c:pt idx="32">
                  <c:v>211.27241218717955</c:v>
                </c:pt>
                <c:pt idx="33">
                  <c:v>211.27241218717955</c:v>
                </c:pt>
                <c:pt idx="34">
                  <c:v>211.27241218717955</c:v>
                </c:pt>
                <c:pt idx="35">
                  <c:v>211.27241218717955</c:v>
                </c:pt>
                <c:pt idx="36">
                  <c:v>211.27241218717955</c:v>
                </c:pt>
                <c:pt idx="37">
                  <c:v>215.8180454644054</c:v>
                </c:pt>
                <c:pt idx="38">
                  <c:v>215.8180454644054</c:v>
                </c:pt>
                <c:pt idx="39">
                  <c:v>215.8180454644054</c:v>
                </c:pt>
                <c:pt idx="40">
                  <c:v>215.8180454644054</c:v>
                </c:pt>
                <c:pt idx="41">
                  <c:v>215.8180454644054</c:v>
                </c:pt>
                <c:pt idx="42">
                  <c:v>215.8180454644054</c:v>
                </c:pt>
                <c:pt idx="43">
                  <c:v>215.8180454644054</c:v>
                </c:pt>
                <c:pt idx="44">
                  <c:v>219.67192041501016</c:v>
                </c:pt>
                <c:pt idx="45">
                  <c:v>219.67192041501016</c:v>
                </c:pt>
                <c:pt idx="46">
                  <c:v>219.67192041501016</c:v>
                </c:pt>
                <c:pt idx="47">
                  <c:v>219.67192041501016</c:v>
                </c:pt>
                <c:pt idx="48">
                  <c:v>219.67192041501016</c:v>
                </c:pt>
                <c:pt idx="49">
                  <c:v>219.67192041501016</c:v>
                </c:pt>
                <c:pt idx="50">
                  <c:v>219.67192041501016</c:v>
                </c:pt>
                <c:pt idx="51">
                  <c:v>223.79125156323707</c:v>
                </c:pt>
                <c:pt idx="52">
                  <c:v>223.79125156323707</c:v>
                </c:pt>
                <c:pt idx="53">
                  <c:v>223.79125156323707</c:v>
                </c:pt>
                <c:pt idx="54">
                  <c:v>223.79125156323707</c:v>
                </c:pt>
                <c:pt idx="55">
                  <c:v>223.79125156323707</c:v>
                </c:pt>
                <c:pt idx="56">
                  <c:v>223.79125156323707</c:v>
                </c:pt>
                <c:pt idx="57">
                  <c:v>223.79125156323707</c:v>
                </c:pt>
                <c:pt idx="58">
                  <c:v>229.19139124122503</c:v>
                </c:pt>
                <c:pt idx="59">
                  <c:v>229.19139124122503</c:v>
                </c:pt>
                <c:pt idx="60">
                  <c:v>229.19139124122503</c:v>
                </c:pt>
                <c:pt idx="61">
                  <c:v>229.19139124122503</c:v>
                </c:pt>
                <c:pt idx="62">
                  <c:v>229.19139124122503</c:v>
                </c:pt>
                <c:pt idx="63">
                  <c:v>229.19139124122503</c:v>
                </c:pt>
                <c:pt idx="64">
                  <c:v>229.19139124122503</c:v>
                </c:pt>
                <c:pt idx="65">
                  <c:v>233.76941615966857</c:v>
                </c:pt>
                <c:pt idx="66">
                  <c:v>233.76941615966857</c:v>
                </c:pt>
                <c:pt idx="67">
                  <c:v>233.76941615966857</c:v>
                </c:pt>
                <c:pt idx="68">
                  <c:v>233.76941615966857</c:v>
                </c:pt>
                <c:pt idx="69">
                  <c:v>233.76941615966857</c:v>
                </c:pt>
                <c:pt idx="70">
                  <c:v>233.76941615966857</c:v>
                </c:pt>
                <c:pt idx="71">
                  <c:v>233.76941615966857</c:v>
                </c:pt>
                <c:pt idx="72">
                  <c:v>239.4221861536891</c:v>
                </c:pt>
                <c:pt idx="73">
                  <c:v>239.4221861536891</c:v>
                </c:pt>
                <c:pt idx="74">
                  <c:v>239.4221861536891</c:v>
                </c:pt>
                <c:pt idx="75">
                  <c:v>239.4221861536891</c:v>
                </c:pt>
                <c:pt idx="76">
                  <c:v>239.4221861536891</c:v>
                </c:pt>
                <c:pt idx="77">
                  <c:v>239.4221861536891</c:v>
                </c:pt>
                <c:pt idx="78">
                  <c:v>239.4221861536891</c:v>
                </c:pt>
                <c:pt idx="79">
                  <c:v>244.00435030931081</c:v>
                </c:pt>
                <c:pt idx="80">
                  <c:v>244.00435030931081</c:v>
                </c:pt>
                <c:pt idx="81">
                  <c:v>244.00435030931081</c:v>
                </c:pt>
                <c:pt idx="82">
                  <c:v>244.00435030931081</c:v>
                </c:pt>
                <c:pt idx="83">
                  <c:v>244.00435030931081</c:v>
                </c:pt>
                <c:pt idx="84">
                  <c:v>244.00435030931081</c:v>
                </c:pt>
                <c:pt idx="85">
                  <c:v>244.00435030931081</c:v>
                </c:pt>
                <c:pt idx="86">
                  <c:v>248.27877725515526</c:v>
                </c:pt>
                <c:pt idx="87">
                  <c:v>248.27877725515526</c:v>
                </c:pt>
                <c:pt idx="88">
                  <c:v>248.27877725515526</c:v>
                </c:pt>
                <c:pt idx="89">
                  <c:v>248.27877725515526</c:v>
                </c:pt>
                <c:pt idx="90">
                  <c:v>248.27877725515526</c:v>
                </c:pt>
                <c:pt idx="91">
                  <c:v>248.27877725515526</c:v>
                </c:pt>
                <c:pt idx="92">
                  <c:v>248.27877725515526</c:v>
                </c:pt>
                <c:pt idx="93">
                  <c:v>252.27546243478591</c:v>
                </c:pt>
                <c:pt idx="94">
                  <c:v>252.27546243478591</c:v>
                </c:pt>
                <c:pt idx="95">
                  <c:v>252.27546243478591</c:v>
                </c:pt>
                <c:pt idx="96">
                  <c:v>252.27546243478591</c:v>
                </c:pt>
                <c:pt idx="97">
                  <c:v>252.27546243478591</c:v>
                </c:pt>
                <c:pt idx="98">
                  <c:v>252.27546243478591</c:v>
                </c:pt>
                <c:pt idx="99">
                  <c:v>252.27546243478591</c:v>
                </c:pt>
                <c:pt idx="100">
                  <c:v>256.02062556242703</c:v>
                </c:pt>
                <c:pt idx="101">
                  <c:v>256.02062556242703</c:v>
                </c:pt>
                <c:pt idx="102">
                  <c:v>256.02062556242703</c:v>
                </c:pt>
                <c:pt idx="103">
                  <c:v>256.02062556242703</c:v>
                </c:pt>
                <c:pt idx="104">
                  <c:v>256.02062556242703</c:v>
                </c:pt>
                <c:pt idx="105">
                  <c:v>256.02062556242703</c:v>
                </c:pt>
                <c:pt idx="106">
                  <c:v>256.02062556242703</c:v>
                </c:pt>
                <c:pt idx="107">
                  <c:v>259.53728661523775</c:v>
                </c:pt>
                <c:pt idx="108">
                  <c:v>259.53728661523775</c:v>
                </c:pt>
                <c:pt idx="109">
                  <c:v>259.53728661523775</c:v>
                </c:pt>
                <c:pt idx="110">
                  <c:v>259.53728661523775</c:v>
                </c:pt>
                <c:pt idx="111">
                  <c:v>259.53728661523775</c:v>
                </c:pt>
                <c:pt idx="112">
                  <c:v>259.53728661523775</c:v>
                </c:pt>
                <c:pt idx="113">
                  <c:v>259.53728661523775</c:v>
                </c:pt>
                <c:pt idx="114">
                  <c:v>262.84573950172705</c:v>
                </c:pt>
                <c:pt idx="115">
                  <c:v>262.84573950172705</c:v>
                </c:pt>
                <c:pt idx="116">
                  <c:v>262.84573950172705</c:v>
                </c:pt>
                <c:pt idx="117">
                  <c:v>262.84573950172705</c:v>
                </c:pt>
                <c:pt idx="118">
                  <c:v>262.84573950172705</c:v>
                </c:pt>
                <c:pt idx="119">
                  <c:v>262.84573950172705</c:v>
                </c:pt>
                <c:pt idx="120">
                  <c:v>262.84573950172705</c:v>
                </c:pt>
                <c:pt idx="121">
                  <c:v>265.96394400438766</c:v>
                </c:pt>
                <c:pt idx="122">
                  <c:v>265.96394400438766</c:v>
                </c:pt>
                <c:pt idx="123">
                  <c:v>265.96394400438766</c:v>
                </c:pt>
                <c:pt idx="124">
                  <c:v>265.96394400438766</c:v>
                </c:pt>
                <c:pt idx="125">
                  <c:v>265.96394400438766</c:v>
                </c:pt>
                <c:pt idx="126">
                  <c:v>265.96394400438766</c:v>
                </c:pt>
                <c:pt idx="127">
                  <c:v>265.96394400438766</c:v>
                </c:pt>
                <c:pt idx="128">
                  <c:v>268.90785198814444</c:v>
                </c:pt>
                <c:pt idx="129">
                  <c:v>268.90785198814444</c:v>
                </c:pt>
                <c:pt idx="130">
                  <c:v>268.90785198814444</c:v>
                </c:pt>
                <c:pt idx="131">
                  <c:v>268.90785198814444</c:v>
                </c:pt>
                <c:pt idx="132">
                  <c:v>268.90785198814444</c:v>
                </c:pt>
                <c:pt idx="133">
                  <c:v>268.90785198814444</c:v>
                </c:pt>
                <c:pt idx="134">
                  <c:v>268.90785198814444</c:v>
                </c:pt>
                <c:pt idx="135">
                  <c:v>271.69168038720164</c:v>
                </c:pt>
                <c:pt idx="136">
                  <c:v>271.69168038720164</c:v>
                </c:pt>
                <c:pt idx="137">
                  <c:v>271.69168038720164</c:v>
                </c:pt>
                <c:pt idx="138">
                  <c:v>271.69168038720164</c:v>
                </c:pt>
                <c:pt idx="139">
                  <c:v>271.69168038720164</c:v>
                </c:pt>
                <c:pt idx="140">
                  <c:v>271.69168038720164</c:v>
                </c:pt>
                <c:pt idx="141">
                  <c:v>271.69168038720164</c:v>
                </c:pt>
                <c:pt idx="142">
                  <c:v>274.32814083281664</c:v>
                </c:pt>
                <c:pt idx="143">
                  <c:v>274.32814083281664</c:v>
                </c:pt>
                <c:pt idx="144">
                  <c:v>274.32814083281664</c:v>
                </c:pt>
                <c:pt idx="145">
                  <c:v>274.32814083281664</c:v>
                </c:pt>
                <c:pt idx="146">
                  <c:v>274.32814083281664</c:v>
                </c:pt>
                <c:pt idx="147">
                  <c:v>274.32814083281664</c:v>
                </c:pt>
                <c:pt idx="148">
                  <c:v>274.32814083281664</c:v>
                </c:pt>
                <c:pt idx="149">
                  <c:v>276.82863374961806</c:v>
                </c:pt>
                <c:pt idx="150">
                  <c:v>276.82863374961806</c:v>
                </c:pt>
                <c:pt idx="151">
                  <c:v>276.82863374961806</c:v>
                </c:pt>
                <c:pt idx="152">
                  <c:v>276.82863374961806</c:v>
                </c:pt>
                <c:pt idx="153">
                  <c:v>276.82863374961806</c:v>
                </c:pt>
                <c:pt idx="154">
                  <c:v>276.82863374961806</c:v>
                </c:pt>
                <c:pt idx="155">
                  <c:v>276.82863374961806</c:v>
                </c:pt>
                <c:pt idx="156">
                  <c:v>279.28947006723234</c:v>
                </c:pt>
                <c:pt idx="157">
                  <c:v>279.28947006723234</c:v>
                </c:pt>
                <c:pt idx="158">
                  <c:v>279.28947006723234</c:v>
                </c:pt>
                <c:pt idx="159">
                  <c:v>279.28947006723234</c:v>
                </c:pt>
                <c:pt idx="160">
                  <c:v>279.28947006723234</c:v>
                </c:pt>
                <c:pt idx="161">
                  <c:v>279.28947006723234</c:v>
                </c:pt>
                <c:pt idx="162">
                  <c:v>279.28947006723234</c:v>
                </c:pt>
                <c:pt idx="163">
                  <c:v>280.76123392885046</c:v>
                </c:pt>
                <c:pt idx="164">
                  <c:v>280.76123392885046</c:v>
                </c:pt>
                <c:pt idx="165">
                  <c:v>280.76123392885046</c:v>
                </c:pt>
                <c:pt idx="166">
                  <c:v>280.76123392885046</c:v>
                </c:pt>
                <c:pt idx="167">
                  <c:v>280.76123392885046</c:v>
                </c:pt>
                <c:pt idx="168">
                  <c:v>280.76123392885046</c:v>
                </c:pt>
                <c:pt idx="169">
                  <c:v>280.76123392885046</c:v>
                </c:pt>
                <c:pt idx="170">
                  <c:v>282.31667960705272</c:v>
                </c:pt>
                <c:pt idx="171">
                  <c:v>282.31667960705272</c:v>
                </c:pt>
                <c:pt idx="172">
                  <c:v>282.31667960705272</c:v>
                </c:pt>
                <c:pt idx="173">
                  <c:v>282.31667960705272</c:v>
                </c:pt>
                <c:pt idx="174">
                  <c:v>282.31667960705272</c:v>
                </c:pt>
                <c:pt idx="175">
                  <c:v>282.31667960705272</c:v>
                </c:pt>
                <c:pt idx="176">
                  <c:v>282.31667960705272</c:v>
                </c:pt>
                <c:pt idx="177">
                  <c:v>283.87212528525504</c:v>
                </c:pt>
                <c:pt idx="178">
                  <c:v>283.87212528525504</c:v>
                </c:pt>
                <c:pt idx="179">
                  <c:v>283.87212528525504</c:v>
                </c:pt>
                <c:pt idx="180">
                  <c:v>283.87212528525504</c:v>
                </c:pt>
                <c:pt idx="181">
                  <c:v>283.87212528525504</c:v>
                </c:pt>
                <c:pt idx="182">
                  <c:v>283.87212528525504</c:v>
                </c:pt>
              </c:numCache>
            </c:numRef>
          </c:yVal>
          <c:smooth val="0"/>
          <c:extLst>
            <c:ext xmlns:c16="http://schemas.microsoft.com/office/drawing/2014/chart" uri="{C3380CC4-5D6E-409C-BE32-E72D297353CC}">
              <c16:uniqueId val="{00000001-56EE-4877-A07F-CD589ACD181A}"/>
            </c:ext>
          </c:extLst>
        </c:ser>
        <c:dLbls>
          <c:showLegendKey val="0"/>
          <c:showVal val="0"/>
          <c:showCatName val="0"/>
          <c:showSerName val="0"/>
          <c:showPercent val="0"/>
          <c:showBubbleSize val="0"/>
        </c:dLbls>
        <c:axId val="460435008"/>
        <c:axId val="460433760"/>
      </c:scatterChart>
      <c:valAx>
        <c:axId val="460435008"/>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3760"/>
        <c:crosses val="autoZero"/>
        <c:crossBetween val="midCat"/>
        <c:majorUnit val="31"/>
      </c:valAx>
      <c:valAx>
        <c:axId val="460433760"/>
        <c:scaling>
          <c:orientation val="minMax"/>
        </c:scaling>
        <c:delete val="0"/>
        <c:axPos val="l"/>
        <c:majorGridlines>
          <c:spPr>
            <a:ln w="9525" cap="flat" cmpd="sng" algn="ctr">
              <a:solidFill>
                <a:schemeClr val="tx1">
                  <a:lumMod val="15000"/>
                  <a:lumOff val="85000"/>
                </a:schemeClr>
              </a:solidFill>
              <a:round/>
            </a:ln>
            <a:effectLst/>
          </c:spPr>
        </c:majorGridlines>
        <c:title>
          <c:tx>
            <c:strRef>
              <c:f>'Elec Calculations'!$B$34</c:f>
              <c:strCache>
                <c:ptCount val="1"/>
                <c:pt idx="0">
                  <c:v>Price cap index Electric £/MWh</c:v>
                </c:pt>
              </c:strCache>
            </c:strRef>
          </c:tx>
          <c:overlay val="0"/>
          <c:spPr>
            <a:noFill/>
            <a:ln>
              <a:solidFill>
                <a:schemeClr val="accent1">
                  <a:alpha val="95000"/>
                </a:schemeClr>
              </a:solid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350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GB" sz="1800"/>
              <a:t>MSC wholesale cost</a:t>
            </a:r>
            <a:r>
              <a:rPr lang="en-GB" sz="1800" baseline="0"/>
              <a:t> value vs. forward prices</a:t>
            </a:r>
            <a:endParaRPr lang="en-GB"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'Gas Wc'!$S$22</c:f>
              <c:strCache>
                <c:ptCount val="1"/>
                <c:pt idx="0">
                  <c:v>Wn</c:v>
                </c:pt>
              </c:strCache>
            </c:strRef>
          </c:tx>
          <c:spPr>
            <a:ln w="19050" cap="rnd">
              <a:solidFill>
                <a:schemeClr val="accent1"/>
              </a:solidFill>
              <a:round/>
            </a:ln>
            <a:effectLst/>
          </c:spPr>
          <c:marker>
            <c:symbol val="none"/>
          </c:marker>
          <c:xVal>
            <c:numRef>
              <c:f>'Gas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'Gas Wc'!$S$23:$S$147</c:f>
              <c:numCache>
                <c:formatCode>0.0</c:formatCode>
                <c:ptCount val="125"/>
                <c:pt idx="0">
                  <c:v>266.69</c:v>
                </c:pt>
                <c:pt idx="1">
                  <c:v>254.67000000000002</c:v>
                </c:pt>
                <c:pt idx="2">
                  <c:v>251.4</c:v>
                </c:pt>
                <c:pt idx="3">
                  <c:v>253.32400000000001</c:v>
                </c:pt>
                <c:pt idx="4">
                  <c:v>244.40199999999999</c:v>
                </c:pt>
                <c:pt idx="5">
                  <c:v>236.92799999999997</c:v>
                </c:pt>
                <c:pt idx="6">
                  <c:v>231.31</c:v>
                </c:pt>
                <c:pt idx="7">
                  <c:v>234.50499999999997</c:v>
                </c:pt>
                <c:pt idx="8">
                  <c:v>234.25500000000002</c:v>
                </c:pt>
                <c:pt idx="9">
                  <c:v>195.47499999999999</c:v>
                </c:pt>
                <c:pt idx="10">
                  <c:v>202.57750000000001</c:v>
                </c:pt>
                <c:pt idx="11">
                  <c:v>201.85</c:v>
                </c:pt>
                <c:pt idx="12">
                  <c:v>217.36000000000004</c:v>
                </c:pt>
                <c:pt idx="13">
                  <c:v>197.67500000000001</c:v>
                </c:pt>
                <c:pt idx="14">
                  <c:v>193.72150000000002</c:v>
                </c:pt>
                <c:pt idx="15">
                  <c:v>189.84707000000003</c:v>
                </c:pt>
                <c:pt idx="16">
                  <c:v>186.05012860000002</c:v>
                </c:pt>
                <c:pt idx="17">
                  <c:v>182.32912602800002</c:v>
                </c:pt>
                <c:pt idx="18">
                  <c:v>178.68254350744002</c:v>
                </c:pt>
                <c:pt idx="19">
                  <c:v>175.10889263729121</c:v>
                </c:pt>
                <c:pt idx="20">
                  <c:v>171.60671478454537</c:v>
                </c:pt>
                <c:pt idx="21">
                  <c:v>168.17458048885447</c:v>
                </c:pt>
                <c:pt idx="22">
                  <c:v>164.81108887907737</c:v>
                </c:pt>
                <c:pt idx="23">
                  <c:v>161.51486710149584</c:v>
                </c:pt>
                <c:pt idx="24">
                  <c:v>158.28456975946591</c:v>
                </c:pt>
                <c:pt idx="25">
                  <c:v>155.11887836427658</c:v>
                </c:pt>
                <c:pt idx="26">
                  <c:v>152.01650079699104</c:v>
                </c:pt>
                <c:pt idx="27">
                  <c:v>148.97617078105122</c:v>
                </c:pt>
                <c:pt idx="28">
                  <c:v>145.99664736543019</c:v>
                </c:pt>
                <c:pt idx="29">
                  <c:v>143.07671441812158</c:v>
                </c:pt>
                <c:pt idx="30">
                  <c:v>140.21518012975915</c:v>
                </c:pt>
                <c:pt idx="31">
                  <c:v>137.41087652716396</c:v>
                </c:pt>
                <c:pt idx="32">
                  <c:v>134.66265899662068</c:v>
                </c:pt>
                <c:pt idx="33">
                  <c:v>131.96940581668827</c:v>
                </c:pt>
                <c:pt idx="34">
                  <c:v>129.33001770035449</c:v>
                </c:pt>
                <c:pt idx="35">
                  <c:v>126.7434173463474</c:v>
                </c:pt>
                <c:pt idx="36">
                  <c:v>124.20854899942046</c:v>
                </c:pt>
                <c:pt idx="37">
                  <c:v>121.72437801943205</c:v>
                </c:pt>
                <c:pt idx="38">
                  <c:v>119.28989045904341</c:v>
                </c:pt>
                <c:pt idx="39">
                  <c:v>116.90409264986253</c:v>
                </c:pt>
                <c:pt idx="40">
                  <c:v>114.56601079686529</c:v>
                </c:pt>
                <c:pt idx="41">
                  <c:v>112.27469058092798</c:v>
                </c:pt>
                <c:pt idx="42">
                  <c:v>110.02919676930942</c:v>
                </c:pt>
                <c:pt idx="43">
                  <c:v>107.82861283392323</c:v>
                </c:pt>
                <c:pt idx="44">
                  <c:v>105.67204057724477</c:v>
                </c:pt>
                <c:pt idx="45">
                  <c:v>103.55859976569988</c:v>
                </c:pt>
                <c:pt idx="46">
                  <c:v>101.48742777038588</c:v>
                </c:pt>
                <c:pt idx="47">
                  <c:v>99.457679214978157</c:v>
                </c:pt>
                <c:pt idx="48">
                  <c:v>97.468525630678599</c:v>
                </c:pt>
                <c:pt idx="49">
                  <c:v>95.519155118065029</c:v>
                </c:pt>
                <c:pt idx="50">
                  <c:v>93.608772015703735</c:v>
                </c:pt>
                <c:pt idx="51">
                  <c:v>91.736596575389655</c:v>
                </c:pt>
                <c:pt idx="52">
                  <c:v>89.901864643881865</c:v>
                </c:pt>
                <c:pt idx="53">
                  <c:v>88.103827351004227</c:v>
                </c:pt>
                <c:pt idx="54">
                  <c:v>86.341750803984141</c:v>
                </c:pt>
                <c:pt idx="55">
                  <c:v>84.614915787904465</c:v>
                </c:pt>
                <c:pt idx="56">
                  <c:v>82.922617472146371</c:v>
                </c:pt>
                <c:pt idx="57">
                  <c:v>81.264165122703446</c:v>
                </c:pt>
                <c:pt idx="58">
                  <c:v>79.638881820249381</c:v>
                </c:pt>
                <c:pt idx="59">
                  <c:v>78.046104183844392</c:v>
                </c:pt>
                <c:pt idx="60">
                  <c:v>76.485182100167506</c:v>
                </c:pt>
                <c:pt idx="61">
                  <c:v>74.955478458164151</c:v>
                </c:pt>
                <c:pt idx="62">
                  <c:v>73.456368889000871</c:v>
                </c:pt>
                <c:pt idx="63">
                  <c:v>71.987241511220859</c:v>
                </c:pt>
                <c:pt idx="64">
                  <c:v>70.547496680996446</c:v>
                </c:pt>
                <c:pt idx="65">
                  <c:v>69.136546747376514</c:v>
                </c:pt>
                <c:pt idx="66">
                  <c:v>67.753815812428982</c:v>
                </c:pt>
                <c:pt idx="67">
                  <c:v>66.398739496180397</c:v>
                </c:pt>
                <c:pt idx="68">
                  <c:v>65.070764706256796</c:v>
                </c:pt>
                <c:pt idx="69">
                  <c:v>63.76934941213166</c:v>
                </c:pt>
                <c:pt idx="70">
                  <c:v>62.49396242388903</c:v>
                </c:pt>
                <c:pt idx="71">
                  <c:v>61.244083175411248</c:v>
                </c:pt>
                <c:pt idx="72">
                  <c:v>60.01920151190302</c:v>
                </c:pt>
                <c:pt idx="73">
                  <c:v>58.818817481664958</c:v>
                </c:pt>
                <c:pt idx="74">
                  <c:v>57.642441132031657</c:v>
                </c:pt>
                <c:pt idx="75">
                  <c:v>60.8</c:v>
                </c:pt>
                <c:pt idx="76">
                  <c:v>59.583999999999996</c:v>
                </c:pt>
                <c:pt idx="77">
                  <c:v>58.392319999999998</c:v>
                </c:pt>
                <c:pt idx="78">
                  <c:v>57.224473599999996</c:v>
                </c:pt>
                <c:pt idx="79">
                  <c:v>56.079984128</c:v>
                </c:pt>
                <c:pt idx="80">
                  <c:v>54.958384445439997</c:v>
                </c:pt>
                <c:pt idx="81">
                  <c:v>53.859216756531197</c:v>
                </c:pt>
                <c:pt idx="82">
                  <c:v>52.782032421400572</c:v>
                </c:pt>
                <c:pt idx="83">
                  <c:v>51.726391772972562</c:v>
                </c:pt>
                <c:pt idx="84">
                  <c:v>50.691863937513112</c:v>
                </c:pt>
                <c:pt idx="85">
                  <c:v>49.678026658762853</c:v>
                </c:pt>
                <c:pt idx="86">
                  <c:v>48.684466125587598</c:v>
                </c:pt>
                <c:pt idx="87">
                  <c:v>47.710776803075845</c:v>
                </c:pt>
                <c:pt idx="88">
                  <c:v>46.756561267014327</c:v>
                </c:pt>
                <c:pt idx="89">
                  <c:v>45.821430041674041</c:v>
                </c:pt>
                <c:pt idx="90">
                  <c:v>44.905001440840557</c:v>
                </c:pt>
                <c:pt idx="91">
                  <c:v>44.006901412023744</c:v>
                </c:pt>
                <c:pt idx="92">
                  <c:v>43.12676338378327</c:v>
                </c:pt>
                <c:pt idx="93">
                  <c:v>42.264228116107603</c:v>
                </c:pt>
                <c:pt idx="94">
                  <c:v>41.418943553785454</c:v>
                </c:pt>
                <c:pt idx="95">
                  <c:v>40.590564682709747</c:v>
                </c:pt>
                <c:pt idx="96">
                  <c:v>39.778753389055552</c:v>
                </c:pt>
                <c:pt idx="97">
                  <c:v>38.983178321274444</c:v>
                </c:pt>
                <c:pt idx="98">
                  <c:v>38.203514754848953</c:v>
                </c:pt>
                <c:pt idx="99">
                  <c:v>37.439444459751975</c:v>
                </c:pt>
                <c:pt idx="100">
                  <c:v>36.690655570556935</c:v>
                </c:pt>
                <c:pt idx="101">
                  <c:v>35.956842459145797</c:v>
                </c:pt>
                <c:pt idx="102">
                  <c:v>35.23770560996288</c:v>
                </c:pt>
                <c:pt idx="103">
                  <c:v>34.532951497763619</c:v>
                </c:pt>
                <c:pt idx="104">
                  <c:v>33.842292467808349</c:v>
                </c:pt>
                <c:pt idx="105">
                  <c:v>33.165446618452179</c:v>
                </c:pt>
                <c:pt idx="106">
                  <c:v>32.502137686083138</c:v>
                </c:pt>
                <c:pt idx="107">
                  <c:v>45.9</c:v>
                </c:pt>
                <c:pt idx="108">
                  <c:v>44.981999999999999</c:v>
                </c:pt>
                <c:pt idx="109">
                  <c:v>44.082360000000001</c:v>
                </c:pt>
                <c:pt idx="110">
                  <c:v>43.200712799999998</c:v>
                </c:pt>
                <c:pt idx="111">
                  <c:v>42.336698544000001</c:v>
                </c:pt>
                <c:pt idx="112">
                  <c:v>41.489964573119998</c:v>
                </c:pt>
                <c:pt idx="113">
                  <c:v>40.660165281657598</c:v>
                </c:pt>
                <c:pt idx="114">
                  <c:v>39.846961976024446</c:v>
                </c:pt>
                <c:pt idx="115">
                  <c:v>39.050022736503955</c:v>
                </c:pt>
                <c:pt idx="116">
                  <c:v>38.269022281773879</c:v>
                </c:pt>
                <c:pt idx="117">
                  <c:v>39.200000000000003</c:v>
                </c:pt>
                <c:pt idx="118">
                  <c:v>38.416000000000004</c:v>
                </c:pt>
                <c:pt idx="119">
                  <c:v>37.647680000000001</c:v>
                </c:pt>
                <c:pt idx="120">
                  <c:v>36.894726400000003</c:v>
                </c:pt>
                <c:pt idx="121">
                  <c:v>36.156831872000005</c:v>
                </c:pt>
                <c:pt idx="122">
                  <c:v>35.433695234560005</c:v>
                </c:pt>
                <c:pt idx="123">
                  <c:v>34.725021329868802</c:v>
                </c:pt>
                <c:pt idx="124">
                  <c:v>34.030520903271423</c:v>
                </c:pt>
              </c:numCache>
            </c:numRef>
          </c:yVal>
          <c:smooth val="0"/>
          <c:extLst>
            <c:ext xmlns:c16="http://schemas.microsoft.com/office/drawing/2014/chart" uri="{C3380CC4-5D6E-409C-BE32-E72D297353CC}">
              <c16:uniqueId val="{00000000-3B0C-4E1A-8036-83D36B451804}"/>
            </c:ext>
          </c:extLst>
        </c:ser>
        <c:ser>
          <c:idx val="1"/>
          <c:order val="1"/>
          <c:tx>
            <c:strRef>
              <c:f>'Gas Wc'!$T$22</c:f>
              <c:strCache>
                <c:ptCount val="1"/>
                <c:pt idx="0">
                  <c:v>Wn+1</c:v>
                </c:pt>
              </c:strCache>
            </c:strRef>
          </c:tx>
          <c:spPr>
            <a:ln w="19050" cap="rnd">
              <a:solidFill>
                <a:schemeClr val="accent2"/>
              </a:solidFill>
              <a:round/>
            </a:ln>
            <a:effectLst/>
          </c:spPr>
          <c:marker>
            <c:symbol val="none"/>
          </c:marker>
          <c:xVal>
            <c:numRef>
              <c:f>'Gas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'Gas Wc'!$T$23:$T$147</c:f>
              <c:numCache>
                <c:formatCode>0.0</c:formatCode>
                <c:ptCount val="125"/>
                <c:pt idx="0">
                  <c:v>181.82730034015736</c:v>
                </c:pt>
                <c:pt idx="1">
                  <c:v>176.17786912557693</c:v>
                </c:pt>
                <c:pt idx="2">
                  <c:v>180.2262788858697</c:v>
                </c:pt>
                <c:pt idx="3">
                  <c:v>181.99090018878937</c:v>
                </c:pt>
                <c:pt idx="4">
                  <c:v>176.6043131437136</c:v>
                </c:pt>
                <c:pt idx="5">
                  <c:v>174.57163878708127</c:v>
                </c:pt>
                <c:pt idx="6">
                  <c:v>170.77103597130113</c:v>
                </c:pt>
                <c:pt idx="7">
                  <c:v>173.87933384165146</c:v>
                </c:pt>
                <c:pt idx="8">
                  <c:v>174.92107944942558</c:v>
                </c:pt>
                <c:pt idx="9">
                  <c:v>151.35899586546213</c:v>
                </c:pt>
                <c:pt idx="10">
                  <c:v>157.75272342427601</c:v>
                </c:pt>
                <c:pt idx="11">
                  <c:v>156.62615585332577</c:v>
                </c:pt>
                <c:pt idx="12">
                  <c:v>165.03647320220864</c:v>
                </c:pt>
                <c:pt idx="13">
                  <c:v>157.24455483511792</c:v>
                </c:pt>
                <c:pt idx="14">
                  <c:v>154.09966373841556</c:v>
                </c:pt>
                <c:pt idx="15">
                  <c:v>151.01767046364725</c:v>
                </c:pt>
                <c:pt idx="16">
                  <c:v>147.99731705437429</c:v>
                </c:pt>
                <c:pt idx="17">
                  <c:v>145.0373707132868</c:v>
                </c:pt>
                <c:pt idx="18">
                  <c:v>142.13662329902107</c:v>
                </c:pt>
                <c:pt idx="19">
                  <c:v>139.29389083304065</c:v>
                </c:pt>
                <c:pt idx="20">
                  <c:v>136.50801301637983</c:v>
                </c:pt>
                <c:pt idx="21">
                  <c:v>133.77785275605223</c:v>
                </c:pt>
                <c:pt idx="22">
                  <c:v>131.10229570093119</c:v>
                </c:pt>
                <c:pt idx="23">
                  <c:v>128.48024978691257</c:v>
                </c:pt>
                <c:pt idx="24">
                  <c:v>125.91064479117432</c:v>
                </c:pt>
                <c:pt idx="25">
                  <c:v>123.39243189535084</c:v>
                </c:pt>
                <c:pt idx="26">
                  <c:v>120.92458325744383</c:v>
                </c:pt>
                <c:pt idx="27">
                  <c:v>118.50609159229495</c:v>
                </c:pt>
                <c:pt idx="28">
                  <c:v>116.13596976044906</c:v>
                </c:pt>
                <c:pt idx="29">
                  <c:v>113.81325036524008</c:v>
                </c:pt>
                <c:pt idx="30">
                  <c:v>111.53698535793528</c:v>
                </c:pt>
                <c:pt idx="31">
                  <c:v>109.30624565077657</c:v>
                </c:pt>
                <c:pt idx="32">
                  <c:v>107.12012073776104</c:v>
                </c:pt>
                <c:pt idx="33">
                  <c:v>104.97771832300582</c:v>
                </c:pt>
                <c:pt idx="34">
                  <c:v>102.87816395654571</c:v>
                </c:pt>
                <c:pt idx="35">
                  <c:v>100.82060067741479</c:v>
                </c:pt>
                <c:pt idx="36">
                  <c:v>98.804188663866498</c:v>
                </c:pt>
                <c:pt idx="37">
                  <c:v>96.828104890589174</c:v>
                </c:pt>
                <c:pt idx="38">
                  <c:v>94.891542792777386</c:v>
                </c:pt>
                <c:pt idx="39">
                  <c:v>92.993711936921841</c:v>
                </c:pt>
                <c:pt idx="40">
                  <c:v>91.133837698183399</c:v>
                </c:pt>
                <c:pt idx="41">
                  <c:v>89.311160944219736</c:v>
                </c:pt>
                <c:pt idx="42">
                  <c:v>87.524937725335349</c:v>
                </c:pt>
                <c:pt idx="43">
                  <c:v>85.774438970828641</c:v>
                </c:pt>
                <c:pt idx="44">
                  <c:v>84.058950191412066</c:v>
                </c:pt>
                <c:pt idx="45">
                  <c:v>82.377771187583818</c:v>
                </c:pt>
                <c:pt idx="46">
                  <c:v>80.730215763832135</c:v>
                </c:pt>
                <c:pt idx="47">
                  <c:v>79.115611448555498</c:v>
                </c:pt>
                <c:pt idx="48">
                  <c:v>77.533299219584393</c:v>
                </c:pt>
                <c:pt idx="49">
                  <c:v>75.982633235192708</c:v>
                </c:pt>
                <c:pt idx="50">
                  <c:v>74.462980570488853</c:v>
                </c:pt>
                <c:pt idx="51">
                  <c:v>72.973720959079074</c:v>
                </c:pt>
                <c:pt idx="52">
                  <c:v>71.514246539897499</c:v>
                </c:pt>
                <c:pt idx="53">
                  <c:v>70.083961609099546</c:v>
                </c:pt>
                <c:pt idx="54">
                  <c:v>68.682282376917556</c:v>
                </c:pt>
                <c:pt idx="55">
                  <c:v>67.308636729379202</c:v>
                </c:pt>
                <c:pt idx="56">
                  <c:v>65.962463994791619</c:v>
                </c:pt>
                <c:pt idx="57">
                  <c:v>64.643214714895791</c:v>
                </c:pt>
                <c:pt idx="58">
                  <c:v>63.350350420597877</c:v>
                </c:pt>
                <c:pt idx="59">
                  <c:v>62.083343412185918</c:v>
                </c:pt>
                <c:pt idx="60">
                  <c:v>60.841676543942199</c:v>
                </c:pt>
                <c:pt idx="61">
                  <c:v>59.624843013063355</c:v>
                </c:pt>
                <c:pt idx="62">
                  <c:v>58.43234615280209</c:v>
                </c:pt>
                <c:pt idx="63">
                  <c:v>57.263699229746045</c:v>
                </c:pt>
                <c:pt idx="64">
                  <c:v>56.118425245151123</c:v>
                </c:pt>
                <c:pt idx="65">
                  <c:v>54.9960567402481</c:v>
                </c:pt>
                <c:pt idx="66">
                  <c:v>53.896135605443135</c:v>
                </c:pt>
                <c:pt idx="67">
                  <c:v>52.81821289333427</c:v>
                </c:pt>
                <c:pt idx="68">
                  <c:v>51.761848635467587</c:v>
                </c:pt>
                <c:pt idx="69">
                  <c:v>50.726611662758238</c:v>
                </c:pt>
                <c:pt idx="70">
                  <c:v>49.712079429503071</c:v>
                </c:pt>
                <c:pt idx="71">
                  <c:v>48.717837840913006</c:v>
                </c:pt>
                <c:pt idx="72">
                  <c:v>47.743481084094746</c:v>
                </c:pt>
                <c:pt idx="73">
                  <c:v>46.788611462412852</c:v>
                </c:pt>
                <c:pt idx="74">
                  <c:v>45.852839233164595</c:v>
                </c:pt>
                <c:pt idx="75">
                  <c:v>44.9357824485013</c:v>
                </c:pt>
                <c:pt idx="76">
                  <c:v>44.037066799531274</c:v>
                </c:pt>
                <c:pt idx="77">
                  <c:v>43.156325463540647</c:v>
                </c:pt>
                <c:pt idx="78">
                  <c:v>42.293198954269833</c:v>
                </c:pt>
                <c:pt idx="79">
                  <c:v>41.44733497518444</c:v>
                </c:pt>
                <c:pt idx="80">
                  <c:v>40.618388275680751</c:v>
                </c:pt>
                <c:pt idx="81">
                  <c:v>39.806020510167137</c:v>
                </c:pt>
                <c:pt idx="82">
                  <c:v>39.009900099963794</c:v>
                </c:pt>
                <c:pt idx="83">
                  <c:v>38.22970209796452</c:v>
                </c:pt>
                <c:pt idx="84">
                  <c:v>45.9</c:v>
                </c:pt>
                <c:pt idx="85">
                  <c:v>44.981999999999999</c:v>
                </c:pt>
                <c:pt idx="86">
                  <c:v>58.2</c:v>
                </c:pt>
                <c:pt idx="87">
                  <c:v>57.036000000000001</c:v>
                </c:pt>
                <c:pt idx="88">
                  <c:v>55.89528</c:v>
                </c:pt>
                <c:pt idx="89">
                  <c:v>54.777374399999999</c:v>
                </c:pt>
                <c:pt idx="90">
                  <c:v>53.681826911999998</c:v>
                </c:pt>
                <c:pt idx="91">
                  <c:v>52.608190373759996</c:v>
                </c:pt>
                <c:pt idx="92">
                  <c:v>51.556026566284793</c:v>
                </c:pt>
                <c:pt idx="93">
                  <c:v>50.524906034959095</c:v>
                </c:pt>
                <c:pt idx="94">
                  <c:v>49.514407914259913</c:v>
                </c:pt>
                <c:pt idx="95">
                  <c:v>48.524119755974716</c:v>
                </c:pt>
                <c:pt idx="96">
                  <c:v>47.55363736085522</c:v>
                </c:pt>
                <c:pt idx="97">
                  <c:v>46.602564613638116</c:v>
                </c:pt>
                <c:pt idx="98">
                  <c:v>45.670513321365355</c:v>
                </c:pt>
                <c:pt idx="99">
                  <c:v>44.75710305493805</c:v>
                </c:pt>
                <c:pt idx="100">
                  <c:v>43.86196099383929</c:v>
                </c:pt>
                <c:pt idx="101">
                  <c:v>42.984721773962505</c:v>
                </c:pt>
                <c:pt idx="102">
                  <c:v>42.125027338483257</c:v>
                </c:pt>
                <c:pt idx="103">
                  <c:v>41.282526791713593</c:v>
                </c:pt>
                <c:pt idx="104">
                  <c:v>40.456876255879322</c:v>
                </c:pt>
                <c:pt idx="105">
                  <c:v>39.647738730761738</c:v>
                </c:pt>
                <c:pt idx="106">
                  <c:v>38.854783956146505</c:v>
                </c:pt>
                <c:pt idx="107">
                  <c:v>38.077688277023576</c:v>
                </c:pt>
                <c:pt idx="108">
                  <c:v>37.316134511483106</c:v>
                </c:pt>
                <c:pt idx="109">
                  <c:v>36.569811821253445</c:v>
                </c:pt>
                <c:pt idx="110">
                  <c:v>35.838415584828375</c:v>
                </c:pt>
                <c:pt idx="111">
                  <c:v>35.4</c:v>
                </c:pt>
                <c:pt idx="112">
                  <c:v>34.692</c:v>
                </c:pt>
                <c:pt idx="113">
                  <c:v>33.998159999999999</c:v>
                </c:pt>
                <c:pt idx="114">
                  <c:v>33.318196799999996</c:v>
                </c:pt>
                <c:pt idx="115">
                  <c:v>32.651832863999992</c:v>
                </c:pt>
                <c:pt idx="116">
                  <c:v>51.2</c:v>
                </c:pt>
                <c:pt idx="117">
                  <c:v>50.176000000000002</c:v>
                </c:pt>
                <c:pt idx="118">
                  <c:v>49.17248</c:v>
                </c:pt>
                <c:pt idx="119">
                  <c:v>48.1890304</c:v>
                </c:pt>
                <c:pt idx="120">
                  <c:v>47.225249792</c:v>
                </c:pt>
                <c:pt idx="121">
                  <c:v>46.28074479616</c:v>
                </c:pt>
                <c:pt idx="122">
                  <c:v>45.355129900236804</c:v>
                </c:pt>
                <c:pt idx="123">
                  <c:v>44.44802730223207</c:v>
                </c:pt>
                <c:pt idx="124">
                  <c:v>43.559066756187427</c:v>
                </c:pt>
              </c:numCache>
            </c:numRef>
          </c:yVal>
          <c:smooth val="0"/>
          <c:extLst>
            <c:ext xmlns:c16="http://schemas.microsoft.com/office/drawing/2014/chart" uri="{C3380CC4-5D6E-409C-BE32-E72D297353CC}">
              <c16:uniqueId val="{00000001-3B0C-4E1A-8036-83D36B451804}"/>
            </c:ext>
          </c:extLst>
        </c:ser>
        <c:ser>
          <c:idx val="2"/>
          <c:order val="2"/>
          <c:tx>
            <c:strRef>
              <c:f>'Gas Wc'!$U$22</c:f>
              <c:strCache>
                <c:ptCount val="1"/>
                <c:pt idx="0">
                  <c:v>Wn+2</c:v>
                </c:pt>
              </c:strCache>
            </c:strRef>
          </c:tx>
          <c:spPr>
            <a:ln w="19050" cap="rnd">
              <a:solidFill>
                <a:schemeClr val="accent3"/>
              </a:solidFill>
              <a:round/>
            </a:ln>
            <a:effectLst/>
          </c:spPr>
          <c:marker>
            <c:symbol val="none"/>
          </c:marker>
          <c:xVal>
            <c:numRef>
              <c:f>'Gas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'Gas Wc'!$U$23:$U$147</c:f>
              <c:numCache>
                <c:formatCode>0.0</c:formatCode>
                <c:ptCount val="125"/>
                <c:pt idx="0">
                  <c:v>147.29971015329991</c:v>
                </c:pt>
                <c:pt idx="1">
                  <c:v>150.04971015329991</c:v>
                </c:pt>
                <c:pt idx="2">
                  <c:v>158.04971015329991</c:v>
                </c:pt>
                <c:pt idx="3">
                  <c:v>165.79971015329991</c:v>
                </c:pt>
                <c:pt idx="4">
                  <c:v>165.2497101532999</c:v>
                </c:pt>
                <c:pt idx="5">
                  <c:v>173.1297101532999</c:v>
                </c:pt>
                <c:pt idx="6">
                  <c:v>179.04971015329991</c:v>
                </c:pt>
                <c:pt idx="7">
                  <c:v>185.04971015329991</c:v>
                </c:pt>
                <c:pt idx="8">
                  <c:v>191.29971015329991</c:v>
                </c:pt>
                <c:pt idx="9">
                  <c:v>180.04971015329991</c:v>
                </c:pt>
                <c:pt idx="10">
                  <c:v>180.29971015329988</c:v>
                </c:pt>
                <c:pt idx="11">
                  <c:v>186.54971015329991</c:v>
                </c:pt>
                <c:pt idx="12">
                  <c:v>196.84971015329992</c:v>
                </c:pt>
                <c:pt idx="13">
                  <c:v>192.84971015329992</c:v>
                </c:pt>
                <c:pt idx="14">
                  <c:v>188.99271595023393</c:v>
                </c:pt>
                <c:pt idx="15">
                  <c:v>185.21286163122926</c:v>
                </c:pt>
                <c:pt idx="16">
                  <c:v>181.50860439860466</c:v>
                </c:pt>
                <c:pt idx="17">
                  <c:v>177.87843231063258</c:v>
                </c:pt>
                <c:pt idx="18">
                  <c:v>174.32086366441993</c:v>
                </c:pt>
                <c:pt idx="19">
                  <c:v>170.83444639113154</c:v>
                </c:pt>
                <c:pt idx="20">
                  <c:v>167.4177574633089</c:v>
                </c:pt>
                <c:pt idx="21">
                  <c:v>164.06940231404272</c:v>
                </c:pt>
                <c:pt idx="22">
                  <c:v>160.78801426776187</c:v>
                </c:pt>
                <c:pt idx="23">
                  <c:v>157.57225398240664</c:v>
                </c:pt>
                <c:pt idx="24">
                  <c:v>154.42080890275849</c:v>
                </c:pt>
                <c:pt idx="25">
                  <c:v>151.33239272470331</c:v>
                </c:pt>
                <c:pt idx="26">
                  <c:v>148.30574487020925</c:v>
                </c:pt>
                <c:pt idx="27">
                  <c:v>145.33962997280506</c:v>
                </c:pt>
                <c:pt idx="28">
                  <c:v>142.43283737334895</c:v>
                </c:pt>
                <c:pt idx="29">
                  <c:v>139.58418062588197</c:v>
                </c:pt>
                <c:pt idx="30">
                  <c:v>136.79249701336434</c:v>
                </c:pt>
                <c:pt idx="31">
                  <c:v>134.05664707309705</c:v>
                </c:pt>
                <c:pt idx="32">
                  <c:v>131.3755141316351</c:v>
                </c:pt>
                <c:pt idx="33">
                  <c:v>128.7480038490024</c:v>
                </c:pt>
                <c:pt idx="34">
                  <c:v>126.17304377202235</c:v>
                </c:pt>
                <c:pt idx="35">
                  <c:v>123.6495828965819</c:v>
                </c:pt>
                <c:pt idx="36">
                  <c:v>121.17659123865026</c:v>
                </c:pt>
                <c:pt idx="37">
                  <c:v>118.75305941387725</c:v>
                </c:pt>
                <c:pt idx="38">
                  <c:v>116.37799822559971</c:v>
                </c:pt>
                <c:pt idx="39">
                  <c:v>114.05043826108772</c:v>
                </c:pt>
                <c:pt idx="40">
                  <c:v>111.76942949586596</c:v>
                </c:pt>
                <c:pt idx="41">
                  <c:v>109.53404090594864</c:v>
                </c:pt>
                <c:pt idx="42">
                  <c:v>107.34336008782967</c:v>
                </c:pt>
                <c:pt idx="43">
                  <c:v>105.19649288607307</c:v>
                </c:pt>
                <c:pt idx="44">
                  <c:v>103.09256302835161</c:v>
                </c:pt>
                <c:pt idx="45">
                  <c:v>101.03071176778457</c:v>
                </c:pt>
                <c:pt idx="46">
                  <c:v>99.010097532428873</c:v>
                </c:pt>
                <c:pt idx="47">
                  <c:v>97.029895581780295</c:v>
                </c:pt>
                <c:pt idx="48">
                  <c:v>95.089297670144688</c:v>
                </c:pt>
                <c:pt idx="49">
                  <c:v>93.187511716741795</c:v>
                </c:pt>
                <c:pt idx="50">
                  <c:v>91.323761482406965</c:v>
                </c:pt>
                <c:pt idx="51">
                  <c:v>89.497286252758826</c:v>
                </c:pt>
                <c:pt idx="52">
                  <c:v>87.70734052770365</c:v>
                </c:pt>
                <c:pt idx="53">
                  <c:v>85.953193717149574</c:v>
                </c:pt>
                <c:pt idx="54">
                  <c:v>84.234129842806581</c:v>
                </c:pt>
                <c:pt idx="55">
                  <c:v>82.549447245950446</c:v>
                </c:pt>
                <c:pt idx="56">
                  <c:v>80.89845830103144</c:v>
                </c:pt>
                <c:pt idx="57">
                  <c:v>79.280489135010811</c:v>
                </c:pt>
                <c:pt idx="58">
                  <c:v>77.694879352310593</c:v>
                </c:pt>
                <c:pt idx="59">
                  <c:v>76.140981765264385</c:v>
                </c:pt>
                <c:pt idx="60">
                  <c:v>74.618162129959103</c:v>
                </c:pt>
                <c:pt idx="61">
                  <c:v>73.12579888735992</c:v>
                </c:pt>
                <c:pt idx="62">
                  <c:v>71.663282909612718</c:v>
                </c:pt>
                <c:pt idx="63">
                  <c:v>70.230017251420463</c:v>
                </c:pt>
                <c:pt idx="64">
                  <c:v>68.82541690639205</c:v>
                </c:pt>
                <c:pt idx="65">
                  <c:v>67.448908568264216</c:v>
                </c:pt>
                <c:pt idx="66">
                  <c:v>66.099930396898927</c:v>
                </c:pt>
                <c:pt idx="67">
                  <c:v>64.777931788960942</c:v>
                </c:pt>
                <c:pt idx="68">
                  <c:v>63.482373153181726</c:v>
                </c:pt>
                <c:pt idx="69">
                  <c:v>62.212725690118091</c:v>
                </c:pt>
                <c:pt idx="70">
                  <c:v>60.968471176315731</c:v>
                </c:pt>
                <c:pt idx="71">
                  <c:v>59.749101752789414</c:v>
                </c:pt>
                <c:pt idx="72">
                  <c:v>58.554119717733627</c:v>
                </c:pt>
                <c:pt idx="73">
                  <c:v>57.383037323378957</c:v>
                </c:pt>
                <c:pt idx="74">
                  <c:v>56.235376576911378</c:v>
                </c:pt>
                <c:pt idx="75">
                  <c:v>55.11066904537315</c:v>
                </c:pt>
                <c:pt idx="76">
                  <c:v>54.008455664465686</c:v>
                </c:pt>
                <c:pt idx="77">
                  <c:v>52.92828655117637</c:v>
                </c:pt>
                <c:pt idx="78">
                  <c:v>51.869720820152843</c:v>
                </c:pt>
                <c:pt idx="79">
                  <c:v>50.832326403749789</c:v>
                </c:pt>
                <c:pt idx="80">
                  <c:v>53.2</c:v>
                </c:pt>
                <c:pt idx="81">
                  <c:v>52.136000000000003</c:v>
                </c:pt>
                <c:pt idx="82">
                  <c:v>51.09328</c:v>
                </c:pt>
                <c:pt idx="83">
                  <c:v>50.071414400000002</c:v>
                </c:pt>
                <c:pt idx="84">
                  <c:v>49.069986112000002</c:v>
                </c:pt>
                <c:pt idx="85">
                  <c:v>48.088586389760003</c:v>
                </c:pt>
                <c:pt idx="86">
                  <c:v>47.126814661964801</c:v>
                </c:pt>
                <c:pt idx="87">
                  <c:v>46.184278368725508</c:v>
                </c:pt>
                <c:pt idx="88">
                  <c:v>45.260592801350995</c:v>
                </c:pt>
                <c:pt idx="89">
                  <c:v>44.355380945323972</c:v>
                </c:pt>
                <c:pt idx="90">
                  <c:v>52.9</c:v>
                </c:pt>
                <c:pt idx="91">
                  <c:v>51.841999999999999</c:v>
                </c:pt>
                <c:pt idx="92">
                  <c:v>50.805160000000001</c:v>
                </c:pt>
                <c:pt idx="93">
                  <c:v>49.789056799999997</c:v>
                </c:pt>
                <c:pt idx="94">
                  <c:v>48.793275663999999</c:v>
                </c:pt>
                <c:pt idx="95">
                  <c:v>47.817410150720001</c:v>
                </c:pt>
                <c:pt idx="96">
                  <c:v>46.861061947705601</c:v>
                </c:pt>
                <c:pt idx="97">
                  <c:v>45.923840708751491</c:v>
                </c:pt>
                <c:pt idx="98">
                  <c:v>45.005363894576462</c:v>
                </c:pt>
                <c:pt idx="99">
                  <c:v>44.105256616684933</c:v>
                </c:pt>
                <c:pt idx="100">
                  <c:v>43.223151484351234</c:v>
                </c:pt>
                <c:pt idx="101">
                  <c:v>42.358688454664211</c:v>
                </c:pt>
                <c:pt idx="102">
                  <c:v>41.51151468557093</c:v>
                </c:pt>
                <c:pt idx="103">
                  <c:v>40.681284391859514</c:v>
                </c:pt>
                <c:pt idx="104">
                  <c:v>39.867658704022325</c:v>
                </c:pt>
                <c:pt idx="105">
                  <c:v>39.070305529941876</c:v>
                </c:pt>
                <c:pt idx="106">
                  <c:v>38.288899419343039</c:v>
                </c:pt>
                <c:pt idx="107">
                  <c:v>37.523121430956181</c:v>
                </c:pt>
                <c:pt idx="108">
                  <c:v>36.772659002337058</c:v>
                </c:pt>
                <c:pt idx="109">
                  <c:v>36.037205822290318</c:v>
                </c:pt>
                <c:pt idx="110">
                  <c:v>35.31646170584451</c:v>
                </c:pt>
                <c:pt idx="111">
                  <c:v>34.610132471727617</c:v>
                </c:pt>
                <c:pt idx="112">
                  <c:v>33.917929822293061</c:v>
                </c:pt>
                <c:pt idx="113">
                  <c:v>42.9</c:v>
                </c:pt>
                <c:pt idx="114">
                  <c:v>42.042000000000002</c:v>
                </c:pt>
                <c:pt idx="115">
                  <c:v>41.201160000000002</c:v>
                </c:pt>
                <c:pt idx="116">
                  <c:v>40.377136800000002</c:v>
                </c:pt>
                <c:pt idx="117">
                  <c:v>39.569594064</c:v>
                </c:pt>
                <c:pt idx="118">
                  <c:v>38.778202182720001</c:v>
                </c:pt>
                <c:pt idx="119">
                  <c:v>38.002638139065603</c:v>
                </c:pt>
                <c:pt idx="120">
                  <c:v>37.242585376284289</c:v>
                </c:pt>
                <c:pt idx="121">
                  <c:v>36.497733668758606</c:v>
                </c:pt>
                <c:pt idx="122">
                  <c:v>35.767778995383431</c:v>
                </c:pt>
                <c:pt idx="123">
                  <c:v>35.052423415475765</c:v>
                </c:pt>
                <c:pt idx="124">
                  <c:v>34.351374947166249</c:v>
                </c:pt>
              </c:numCache>
            </c:numRef>
          </c:yVal>
          <c:smooth val="0"/>
          <c:extLst>
            <c:ext xmlns:c16="http://schemas.microsoft.com/office/drawing/2014/chart" uri="{C3380CC4-5D6E-409C-BE32-E72D297353CC}">
              <c16:uniqueId val="{00000002-3B0C-4E1A-8036-83D36B451804}"/>
            </c:ext>
          </c:extLst>
        </c:ser>
        <c:ser>
          <c:idx val="3"/>
          <c:order val="3"/>
          <c:tx>
            <c:strRef>
              <c:f>'Gas Wc'!$V$22</c:f>
              <c:strCache>
                <c:ptCount val="1"/>
                <c:pt idx="0">
                  <c:v>Wc</c:v>
                </c:pt>
              </c:strCache>
            </c:strRef>
          </c:tx>
          <c:spPr>
            <a:ln w="19050" cap="rnd">
              <a:solidFill>
                <a:schemeClr val="accent4"/>
              </a:solidFill>
              <a:round/>
            </a:ln>
            <a:effectLst/>
          </c:spPr>
          <c:marker>
            <c:symbol val="none"/>
          </c:marker>
          <c:xVal>
            <c:numRef>
              <c:f>'Gas Wc'!$D$23:$D$147</c:f>
              <c:numCache>
                <c:formatCode>m/d/yyyy</c:formatCode>
                <c:ptCount val="125"/>
                <c:pt idx="0">
                  <c:v>44652</c:v>
                </c:pt>
                <c:pt idx="1">
                  <c:v>44655</c:v>
                </c:pt>
                <c:pt idx="2">
                  <c:v>44656</c:v>
                </c:pt>
                <c:pt idx="3">
                  <c:v>44657</c:v>
                </c:pt>
                <c:pt idx="4">
                  <c:v>44658</c:v>
                </c:pt>
                <c:pt idx="5">
                  <c:v>44659</c:v>
                </c:pt>
                <c:pt idx="6">
                  <c:v>44662</c:v>
                </c:pt>
                <c:pt idx="7">
                  <c:v>44663</c:v>
                </c:pt>
                <c:pt idx="8">
                  <c:v>44664</c:v>
                </c:pt>
                <c:pt idx="9">
                  <c:v>44665</c:v>
                </c:pt>
                <c:pt idx="10">
                  <c:v>44670</c:v>
                </c:pt>
                <c:pt idx="11">
                  <c:v>44671</c:v>
                </c:pt>
                <c:pt idx="12">
                  <c:v>44672</c:v>
                </c:pt>
                <c:pt idx="13">
                  <c:v>44673</c:v>
                </c:pt>
                <c:pt idx="14">
                  <c:v>44676</c:v>
                </c:pt>
                <c:pt idx="15">
                  <c:v>44677</c:v>
                </c:pt>
                <c:pt idx="16">
                  <c:v>44678</c:v>
                </c:pt>
                <c:pt idx="17">
                  <c:v>44679</c:v>
                </c:pt>
                <c:pt idx="18">
                  <c:v>44680</c:v>
                </c:pt>
                <c:pt idx="19">
                  <c:v>44684</c:v>
                </c:pt>
                <c:pt idx="20">
                  <c:v>44685</c:v>
                </c:pt>
                <c:pt idx="21">
                  <c:v>44686</c:v>
                </c:pt>
                <c:pt idx="22">
                  <c:v>44687</c:v>
                </c:pt>
                <c:pt idx="23">
                  <c:v>44690</c:v>
                </c:pt>
                <c:pt idx="24">
                  <c:v>44691</c:v>
                </c:pt>
                <c:pt idx="25">
                  <c:v>44692</c:v>
                </c:pt>
                <c:pt idx="26">
                  <c:v>44693</c:v>
                </c:pt>
                <c:pt idx="27">
                  <c:v>44694</c:v>
                </c:pt>
                <c:pt idx="28">
                  <c:v>44697</c:v>
                </c:pt>
                <c:pt idx="29">
                  <c:v>44698</c:v>
                </c:pt>
                <c:pt idx="30">
                  <c:v>44699</c:v>
                </c:pt>
                <c:pt idx="31">
                  <c:v>44700</c:v>
                </c:pt>
                <c:pt idx="32">
                  <c:v>44701</c:v>
                </c:pt>
                <c:pt idx="33">
                  <c:v>44704</c:v>
                </c:pt>
                <c:pt idx="34">
                  <c:v>44705</c:v>
                </c:pt>
                <c:pt idx="35">
                  <c:v>44706</c:v>
                </c:pt>
                <c:pt idx="36">
                  <c:v>44707</c:v>
                </c:pt>
                <c:pt idx="37">
                  <c:v>44708</c:v>
                </c:pt>
                <c:pt idx="38">
                  <c:v>44711</c:v>
                </c:pt>
                <c:pt idx="39">
                  <c:v>44712</c:v>
                </c:pt>
                <c:pt idx="40">
                  <c:v>44713</c:v>
                </c:pt>
                <c:pt idx="41">
                  <c:v>44718</c:v>
                </c:pt>
                <c:pt idx="42">
                  <c:v>44719</c:v>
                </c:pt>
                <c:pt idx="43">
                  <c:v>44720</c:v>
                </c:pt>
                <c:pt idx="44">
                  <c:v>44721</c:v>
                </c:pt>
                <c:pt idx="45">
                  <c:v>44722</c:v>
                </c:pt>
                <c:pt idx="46">
                  <c:v>44725</c:v>
                </c:pt>
                <c:pt idx="47">
                  <c:v>44726</c:v>
                </c:pt>
                <c:pt idx="48">
                  <c:v>44727</c:v>
                </c:pt>
                <c:pt idx="49">
                  <c:v>44728</c:v>
                </c:pt>
                <c:pt idx="50">
                  <c:v>44729</c:v>
                </c:pt>
                <c:pt idx="51">
                  <c:v>44732</c:v>
                </c:pt>
                <c:pt idx="52">
                  <c:v>44733</c:v>
                </c:pt>
                <c:pt idx="53">
                  <c:v>44734</c:v>
                </c:pt>
                <c:pt idx="54">
                  <c:v>44735</c:v>
                </c:pt>
                <c:pt idx="55">
                  <c:v>44736</c:v>
                </c:pt>
                <c:pt idx="56">
                  <c:v>44739</c:v>
                </c:pt>
                <c:pt idx="57">
                  <c:v>44740</c:v>
                </c:pt>
                <c:pt idx="58">
                  <c:v>44741</c:v>
                </c:pt>
                <c:pt idx="59">
                  <c:v>44742</c:v>
                </c:pt>
                <c:pt idx="60">
                  <c:v>44743</c:v>
                </c:pt>
                <c:pt idx="61">
                  <c:v>44746</c:v>
                </c:pt>
                <c:pt idx="62">
                  <c:v>44747</c:v>
                </c:pt>
                <c:pt idx="63">
                  <c:v>44748</c:v>
                </c:pt>
                <c:pt idx="64">
                  <c:v>44749</c:v>
                </c:pt>
                <c:pt idx="65">
                  <c:v>44750</c:v>
                </c:pt>
                <c:pt idx="66">
                  <c:v>44753</c:v>
                </c:pt>
                <c:pt idx="67">
                  <c:v>44754</c:v>
                </c:pt>
                <c:pt idx="68">
                  <c:v>44755</c:v>
                </c:pt>
                <c:pt idx="69">
                  <c:v>44756</c:v>
                </c:pt>
                <c:pt idx="70">
                  <c:v>44757</c:v>
                </c:pt>
                <c:pt idx="71">
                  <c:v>44760</c:v>
                </c:pt>
                <c:pt idx="72">
                  <c:v>44761</c:v>
                </c:pt>
                <c:pt idx="73">
                  <c:v>44762</c:v>
                </c:pt>
                <c:pt idx="74">
                  <c:v>44763</c:v>
                </c:pt>
                <c:pt idx="75">
                  <c:v>44764</c:v>
                </c:pt>
                <c:pt idx="76">
                  <c:v>44767</c:v>
                </c:pt>
                <c:pt idx="77">
                  <c:v>44768</c:v>
                </c:pt>
                <c:pt idx="78">
                  <c:v>44769</c:v>
                </c:pt>
                <c:pt idx="79">
                  <c:v>44770</c:v>
                </c:pt>
                <c:pt idx="80">
                  <c:v>44771</c:v>
                </c:pt>
                <c:pt idx="81">
                  <c:v>44774</c:v>
                </c:pt>
                <c:pt idx="82">
                  <c:v>44775</c:v>
                </c:pt>
                <c:pt idx="83">
                  <c:v>44776</c:v>
                </c:pt>
                <c:pt idx="84">
                  <c:v>44777</c:v>
                </c:pt>
                <c:pt idx="85">
                  <c:v>44778</c:v>
                </c:pt>
                <c:pt idx="86">
                  <c:v>44781</c:v>
                </c:pt>
                <c:pt idx="87">
                  <c:v>44782</c:v>
                </c:pt>
                <c:pt idx="88">
                  <c:v>44783</c:v>
                </c:pt>
                <c:pt idx="89">
                  <c:v>44784</c:v>
                </c:pt>
                <c:pt idx="90">
                  <c:v>44785</c:v>
                </c:pt>
                <c:pt idx="91">
                  <c:v>44788</c:v>
                </c:pt>
                <c:pt idx="92">
                  <c:v>44789</c:v>
                </c:pt>
                <c:pt idx="93">
                  <c:v>44790</c:v>
                </c:pt>
                <c:pt idx="94">
                  <c:v>44791</c:v>
                </c:pt>
                <c:pt idx="95">
                  <c:v>44792</c:v>
                </c:pt>
                <c:pt idx="96">
                  <c:v>44795</c:v>
                </c:pt>
                <c:pt idx="97">
                  <c:v>44796</c:v>
                </c:pt>
                <c:pt idx="98">
                  <c:v>44797</c:v>
                </c:pt>
                <c:pt idx="99">
                  <c:v>44798</c:v>
                </c:pt>
                <c:pt idx="100">
                  <c:v>44799</c:v>
                </c:pt>
                <c:pt idx="101">
                  <c:v>44803</c:v>
                </c:pt>
                <c:pt idx="102">
                  <c:v>44804</c:v>
                </c:pt>
                <c:pt idx="103">
                  <c:v>44805</c:v>
                </c:pt>
                <c:pt idx="104">
                  <c:v>44806</c:v>
                </c:pt>
                <c:pt idx="105">
                  <c:v>44809</c:v>
                </c:pt>
                <c:pt idx="106">
                  <c:v>44810</c:v>
                </c:pt>
                <c:pt idx="107">
                  <c:v>44811</c:v>
                </c:pt>
                <c:pt idx="108">
                  <c:v>44812</c:v>
                </c:pt>
                <c:pt idx="109">
                  <c:v>44813</c:v>
                </c:pt>
                <c:pt idx="110">
                  <c:v>44816</c:v>
                </c:pt>
                <c:pt idx="111">
                  <c:v>44817</c:v>
                </c:pt>
                <c:pt idx="112">
                  <c:v>44818</c:v>
                </c:pt>
                <c:pt idx="113">
                  <c:v>44819</c:v>
                </c:pt>
                <c:pt idx="114">
                  <c:v>44820</c:v>
                </c:pt>
                <c:pt idx="115">
                  <c:v>44823</c:v>
                </c:pt>
                <c:pt idx="116">
                  <c:v>44824</c:v>
                </c:pt>
                <c:pt idx="117">
                  <c:v>44825</c:v>
                </c:pt>
                <c:pt idx="118">
                  <c:v>44826</c:v>
                </c:pt>
                <c:pt idx="119">
                  <c:v>44827</c:v>
                </c:pt>
                <c:pt idx="120">
                  <c:v>44830</c:v>
                </c:pt>
                <c:pt idx="121">
                  <c:v>44831</c:v>
                </c:pt>
                <c:pt idx="122">
                  <c:v>44832</c:v>
                </c:pt>
                <c:pt idx="123">
                  <c:v>44833</c:v>
                </c:pt>
                <c:pt idx="124">
                  <c:v>44834</c:v>
                </c:pt>
              </c:numCache>
            </c:numRef>
          </c:xVal>
          <c:yVal>
            <c:numRef>
              <c:f>'Gas Wc'!$W$23:$W$147</c:f>
              <c:numCache>
                <c:formatCode>0.0</c:formatCode>
                <c:ptCount val="125"/>
                <c:pt idx="0">
                  <c:v>0</c:v>
                </c:pt>
                <c:pt idx="1">
                  <c:v>225.68566076040085</c:v>
                </c:pt>
                <c:pt idx="2">
                  <c:v>225.68566076040085</c:v>
                </c:pt>
                <c:pt idx="3">
                  <c:v>225.68566076040085</c:v>
                </c:pt>
                <c:pt idx="4">
                  <c:v>225.68566076040085</c:v>
                </c:pt>
                <c:pt idx="5">
                  <c:v>225.68566076040085</c:v>
                </c:pt>
                <c:pt idx="6">
                  <c:v>213.13491656834373</c:v>
                </c:pt>
                <c:pt idx="7">
                  <c:v>213.13491656834373</c:v>
                </c:pt>
                <c:pt idx="8">
                  <c:v>213.13491656834373</c:v>
                </c:pt>
                <c:pt idx="9">
                  <c:v>213.13491656834373</c:v>
                </c:pt>
                <c:pt idx="10">
                  <c:v>194.58156161829942</c:v>
                </c:pt>
                <c:pt idx="11">
                  <c:v>194.58156161829942</c:v>
                </c:pt>
                <c:pt idx="12">
                  <c:v>194.58156161829942</c:v>
                </c:pt>
                <c:pt idx="13">
                  <c:v>194.58156161829942</c:v>
                </c:pt>
                <c:pt idx="14">
                  <c:v>180.06082600702911</c:v>
                </c:pt>
                <c:pt idx="15">
                  <c:v>180.06082600702911</c:v>
                </c:pt>
                <c:pt idx="16">
                  <c:v>180.06082600702911</c:v>
                </c:pt>
                <c:pt idx="17">
                  <c:v>180.06082600702911</c:v>
                </c:pt>
                <c:pt idx="18">
                  <c:v>180.06082600702911</c:v>
                </c:pt>
                <c:pt idx="19">
                  <c:v>164.61123004454322</c:v>
                </c:pt>
                <c:pt idx="20">
                  <c:v>164.61123004454322</c:v>
                </c:pt>
                <c:pt idx="21">
                  <c:v>164.61123004454322</c:v>
                </c:pt>
                <c:pt idx="22">
                  <c:v>164.61123004454322</c:v>
                </c:pt>
                <c:pt idx="23">
                  <c:v>149.51296835954022</c:v>
                </c:pt>
                <c:pt idx="24">
                  <c:v>149.51296835954022</c:v>
                </c:pt>
                <c:pt idx="25">
                  <c:v>149.51296835954022</c:v>
                </c:pt>
                <c:pt idx="26">
                  <c:v>149.51296835954022</c:v>
                </c:pt>
                <c:pt idx="27">
                  <c:v>149.51296835954022</c:v>
                </c:pt>
                <c:pt idx="28">
                  <c:v>135.85643982424017</c:v>
                </c:pt>
                <c:pt idx="29">
                  <c:v>135.85643982424017</c:v>
                </c:pt>
                <c:pt idx="30">
                  <c:v>135.85643982424017</c:v>
                </c:pt>
                <c:pt idx="31">
                  <c:v>135.85643982424017</c:v>
                </c:pt>
                <c:pt idx="32">
                  <c:v>135.85643982424017</c:v>
                </c:pt>
                <c:pt idx="33">
                  <c:v>122.11583598098841</c:v>
                </c:pt>
                <c:pt idx="34">
                  <c:v>122.11583598098841</c:v>
                </c:pt>
                <c:pt idx="35">
                  <c:v>122.11583598098841</c:v>
                </c:pt>
                <c:pt idx="36">
                  <c:v>122.11583598098841</c:v>
                </c:pt>
                <c:pt idx="37">
                  <c:v>122.11583598098841</c:v>
                </c:pt>
                <c:pt idx="38">
                  <c:v>109.59190290278426</c:v>
                </c:pt>
                <c:pt idx="39">
                  <c:v>109.59190290278426</c:v>
                </c:pt>
                <c:pt idx="40">
                  <c:v>109.59190290278426</c:v>
                </c:pt>
                <c:pt idx="41">
                  <c:v>100.45763908556496</c:v>
                </c:pt>
                <c:pt idx="42">
                  <c:v>100.45763908556496</c:v>
                </c:pt>
                <c:pt idx="43">
                  <c:v>100.45763908556496</c:v>
                </c:pt>
                <c:pt idx="44">
                  <c:v>100.45763908556496</c:v>
                </c:pt>
                <c:pt idx="45">
                  <c:v>100.45763908556496</c:v>
                </c:pt>
                <c:pt idx="46">
                  <c:v>92.174004716440379</c:v>
                </c:pt>
                <c:pt idx="47">
                  <c:v>92.174004716440379</c:v>
                </c:pt>
                <c:pt idx="48">
                  <c:v>92.174004716440379</c:v>
                </c:pt>
                <c:pt idx="49">
                  <c:v>92.174004716440379</c:v>
                </c:pt>
                <c:pt idx="50">
                  <c:v>92.174004716440379</c:v>
                </c:pt>
                <c:pt idx="51">
                  <c:v>82.77360987328143</c:v>
                </c:pt>
                <c:pt idx="52">
                  <c:v>82.77360987328143</c:v>
                </c:pt>
                <c:pt idx="53">
                  <c:v>82.77360987328143</c:v>
                </c:pt>
                <c:pt idx="54">
                  <c:v>82.77360987328143</c:v>
                </c:pt>
                <c:pt idx="55">
                  <c:v>82.77360987328143</c:v>
                </c:pt>
                <c:pt idx="56">
                  <c:v>74.362786225451117</c:v>
                </c:pt>
                <c:pt idx="57">
                  <c:v>74.362786225451117</c:v>
                </c:pt>
                <c:pt idx="58">
                  <c:v>74.362786225451117</c:v>
                </c:pt>
                <c:pt idx="59">
                  <c:v>74.362786225451117</c:v>
                </c:pt>
                <c:pt idx="60">
                  <c:v>74.362786225451117</c:v>
                </c:pt>
                <c:pt idx="61">
                  <c:v>66.83178747478857</c:v>
                </c:pt>
                <c:pt idx="62">
                  <c:v>66.83178747478857</c:v>
                </c:pt>
                <c:pt idx="63">
                  <c:v>66.83178747478857</c:v>
                </c:pt>
                <c:pt idx="64">
                  <c:v>66.83178747478857</c:v>
                </c:pt>
                <c:pt idx="65">
                  <c:v>66.83178747478857</c:v>
                </c:pt>
                <c:pt idx="66">
                  <c:v>60.084092669241294</c:v>
                </c:pt>
                <c:pt idx="67">
                  <c:v>60.084092669241294</c:v>
                </c:pt>
                <c:pt idx="68">
                  <c:v>60.084092669241294</c:v>
                </c:pt>
                <c:pt idx="69">
                  <c:v>60.084092669241294</c:v>
                </c:pt>
                <c:pt idx="70">
                  <c:v>60.084092669241294</c:v>
                </c:pt>
                <c:pt idx="71">
                  <c:v>54.034606154244884</c:v>
                </c:pt>
                <c:pt idx="72">
                  <c:v>54.034606154244884</c:v>
                </c:pt>
                <c:pt idx="73">
                  <c:v>54.034606154244884</c:v>
                </c:pt>
                <c:pt idx="74">
                  <c:v>54.034606154244884</c:v>
                </c:pt>
                <c:pt idx="75">
                  <c:v>54.034606154244884</c:v>
                </c:pt>
                <c:pt idx="76">
                  <c:v>48.730496487199261</c:v>
                </c:pt>
                <c:pt idx="77">
                  <c:v>48.730496487199261</c:v>
                </c:pt>
                <c:pt idx="78">
                  <c:v>48.730496487199261</c:v>
                </c:pt>
                <c:pt idx="79">
                  <c:v>48.730496487199261</c:v>
                </c:pt>
                <c:pt idx="80">
                  <c:v>48.730496487199261</c:v>
                </c:pt>
                <c:pt idx="81">
                  <c:v>44.270780684909461</c:v>
                </c:pt>
                <c:pt idx="82">
                  <c:v>44.270780684909461</c:v>
                </c:pt>
                <c:pt idx="83">
                  <c:v>44.270780684909461</c:v>
                </c:pt>
                <c:pt idx="84">
                  <c:v>44.270780684909461</c:v>
                </c:pt>
                <c:pt idx="85">
                  <c:v>44.270780684909461</c:v>
                </c:pt>
                <c:pt idx="86">
                  <c:v>42.7604458145085</c:v>
                </c:pt>
                <c:pt idx="87">
                  <c:v>42.7604458145085</c:v>
                </c:pt>
                <c:pt idx="88">
                  <c:v>42.7604458145085</c:v>
                </c:pt>
                <c:pt idx="89">
                  <c:v>42.7604458145085</c:v>
                </c:pt>
                <c:pt idx="90">
                  <c:v>42.7604458145085</c:v>
                </c:pt>
                <c:pt idx="91">
                  <c:v>55.025959781685629</c:v>
                </c:pt>
                <c:pt idx="92">
                  <c:v>55.025959781685629</c:v>
                </c:pt>
                <c:pt idx="93">
                  <c:v>55.025959781685629</c:v>
                </c:pt>
                <c:pt idx="94">
                  <c:v>55.025959781685629</c:v>
                </c:pt>
                <c:pt idx="95">
                  <c:v>55.025959781685629</c:v>
                </c:pt>
                <c:pt idx="96">
                  <c:v>49.866855868229884</c:v>
                </c:pt>
                <c:pt idx="97">
                  <c:v>49.866855868229884</c:v>
                </c:pt>
                <c:pt idx="98">
                  <c:v>49.866855868229884</c:v>
                </c:pt>
                <c:pt idx="99">
                  <c:v>49.866855868229884</c:v>
                </c:pt>
                <c:pt idx="100">
                  <c:v>49.866855868229884</c:v>
                </c:pt>
                <c:pt idx="101">
                  <c:v>45.185063491240534</c:v>
                </c:pt>
                <c:pt idx="102">
                  <c:v>45.185063491240534</c:v>
                </c:pt>
                <c:pt idx="103">
                  <c:v>45.185063491240534</c:v>
                </c:pt>
                <c:pt idx="104">
                  <c:v>45.185063491240534</c:v>
                </c:pt>
                <c:pt idx="105">
                  <c:v>41.33547083085201</c:v>
                </c:pt>
                <c:pt idx="106">
                  <c:v>41.33547083085201</c:v>
                </c:pt>
                <c:pt idx="107">
                  <c:v>41.33547083085201</c:v>
                </c:pt>
                <c:pt idx="108">
                  <c:v>41.33547083085201</c:v>
                </c:pt>
                <c:pt idx="109">
                  <c:v>41.33547083085201</c:v>
                </c:pt>
                <c:pt idx="110">
                  <c:v>38.155374568339404</c:v>
                </c:pt>
                <c:pt idx="111">
                  <c:v>38.155374568339404</c:v>
                </c:pt>
                <c:pt idx="112">
                  <c:v>38.155374568339404</c:v>
                </c:pt>
                <c:pt idx="113">
                  <c:v>38.155374568339404</c:v>
                </c:pt>
                <c:pt idx="114">
                  <c:v>38.155374568339404</c:v>
                </c:pt>
                <c:pt idx="115">
                  <c:v>34.957711638509736</c:v>
                </c:pt>
                <c:pt idx="116">
                  <c:v>34.957711638509736</c:v>
                </c:pt>
                <c:pt idx="117">
                  <c:v>34.957711638509736</c:v>
                </c:pt>
                <c:pt idx="118">
                  <c:v>34.957711638509736</c:v>
                </c:pt>
                <c:pt idx="119">
                  <c:v>34.957711638509736</c:v>
                </c:pt>
                <c:pt idx="120">
                  <c:v>45.878441194745179</c:v>
                </c:pt>
                <c:pt idx="121">
                  <c:v>45.878441194745179</c:v>
                </c:pt>
                <c:pt idx="122">
                  <c:v>45.878441194745179</c:v>
                </c:pt>
                <c:pt idx="123">
                  <c:v>45.878441194745179</c:v>
                </c:pt>
                <c:pt idx="124">
                  <c:v>45.878441194745179</c:v>
                </c:pt>
              </c:numCache>
            </c:numRef>
          </c:yVal>
          <c:smooth val="0"/>
          <c:extLst>
            <c:ext xmlns:c16="http://schemas.microsoft.com/office/drawing/2014/chart" uri="{C3380CC4-5D6E-409C-BE32-E72D297353CC}">
              <c16:uniqueId val="{00000003-3B0C-4E1A-8036-83D36B451804}"/>
            </c:ext>
          </c:extLst>
        </c:ser>
        <c:dLbls>
          <c:showLegendKey val="0"/>
          <c:showVal val="0"/>
          <c:showCatName val="0"/>
          <c:showSerName val="0"/>
          <c:showPercent val="0"/>
          <c:showBubbleSize val="0"/>
        </c:dLbls>
        <c:axId val="998360255"/>
        <c:axId val="998361503"/>
      </c:scatterChart>
      <c:valAx>
        <c:axId val="998360255"/>
        <c:scaling>
          <c:orientation val="minMax"/>
          <c:max val="44834"/>
          <c:min val="44653"/>
        </c:scaling>
        <c:delete val="0"/>
        <c:axPos val="b"/>
        <c:majorGridlines>
          <c:spPr>
            <a:ln w="9525" cap="flat" cmpd="sng" algn="ctr">
              <a:solidFill>
                <a:schemeClr val="tx1">
                  <a:lumMod val="15000"/>
                  <a:lumOff val="85000"/>
                </a:schemeClr>
              </a:solidFill>
              <a:round/>
            </a:ln>
            <a:effectLst/>
          </c:spPr>
        </c:majorGridlines>
        <c:numFmt formatCode="mmm"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361503"/>
        <c:crosses val="autoZero"/>
        <c:crossBetween val="midCat"/>
        <c:majorUnit val="31"/>
      </c:valAx>
      <c:valAx>
        <c:axId val="998361503"/>
        <c:scaling>
          <c:orientation val="minMax"/>
        </c:scaling>
        <c:delete val="0"/>
        <c:axPos val="l"/>
        <c:majorGridlines>
          <c:spPr>
            <a:ln w="9525" cap="flat" cmpd="sng" algn="ctr">
              <a:solidFill>
                <a:schemeClr val="tx1">
                  <a:lumMod val="15000"/>
                  <a:lumOff val="85000"/>
                </a:schemeClr>
              </a:solidFill>
              <a:round/>
            </a:ln>
            <a:effectLst/>
          </c:spPr>
        </c:majorGridlines>
        <c:title>
          <c:tx>
            <c:strRef>
              <c:f>'Elec Calculations'!$B$35</c:f>
              <c:strCache>
                <c:ptCount val="1"/>
                <c:pt idx="0">
                  <c:v>Wholesale Electric cost £/MWh</c:v>
                </c:pt>
              </c:strCache>
            </c:strRef>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36025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687FAD-5C38-4A99-AD0D-90128655A529}">
  <sheetPr/>
  <sheetViews>
    <sheetView zoomScale="60" workbookViewId="0"/>
  </sheetViews>
  <pageMargins left="0.7" right="0.7" top="0.75" bottom="0.75" header="0.3" footer="0.3"/>
  <headerFooter>
    <oddFooter>&amp;C_x000D_&amp;1#&amp;"Calibri"&amp;10&amp;K000000 OFFICIAL-InternalOnly</oddFooter>
  </headerFooter>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3F8EE2-825A-4EF0-97C6-E98F748011D8}">
  <sheetPr/>
  <sheetViews>
    <sheetView zoomScale="60" workbookViewId="0"/>
  </sheetViews>
  <pageMargins left="0.7" right="0.7" top="0.75" bottom="0.75" header="0.3" footer="0.3"/>
  <headerFooter>
    <oddFooter>&amp;C_x000D_&amp;1#&amp;"Calibri"&amp;10&amp;K000000 OFFICIAL-InternalOnly</oddFooter>
  </headerFooter>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6239902-3961-4DD3-850F-4027036370CF}">
  <sheetPr/>
  <sheetViews>
    <sheetView zoomScale="60" workbookViewId="0"/>
  </sheetViews>
  <pageMargins left="0.7" right="0.7" top="0.75" bottom="0.75" header="0.3" footer="0.3"/>
  <headerFooter>
    <oddFooter>&amp;C_x000D_&amp;1#&amp;"Calibri"&amp;10&amp;K000000 OFFICIAL-InternalOnly</oddFooter>
  </headerFooter>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168816D-8776-4396-B18B-A5EB5FAAF3A2}">
  <sheetPr/>
  <sheetViews>
    <sheetView zoomScale="50" workbookViewId="0"/>
  </sheetViews>
  <pageMargins left="0.7" right="0.7" top="0.75" bottom="0.75" header="0.3" footer="0.3"/>
  <headerFooter>
    <oddFooter>&amp;C_x000D_&amp;1#&amp;"Calibri"&amp;10&amp;K000000 OFFICIAL-InternalOnly</oddFooter>
  </headerFooter>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image" Target="../media/image1.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image" Target="../media/image1.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3145655</xdr:colOff>
      <xdr:row>0</xdr:row>
      <xdr:rowOff>713384</xdr:rowOff>
    </xdr:to>
    <xdr:pic>
      <xdr:nvPicPr>
        <xdr:cNvPr id="2" name="Picture 1" descr="image of the Ofgem logo" title="Ofgem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773136</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twoCellAnchor editAs="oneCell">
    <xdr:from>
      <xdr:col>7</xdr:col>
      <xdr:colOff>0</xdr:colOff>
      <xdr:row>2</xdr:row>
      <xdr:rowOff>0</xdr:rowOff>
    </xdr:from>
    <xdr:to>
      <xdr:col>7</xdr:col>
      <xdr:colOff>6696075</xdr:colOff>
      <xdr:row>32</xdr:row>
      <xdr:rowOff>1</xdr:rowOff>
    </xdr:to>
    <xdr:pic>
      <xdr:nvPicPr>
        <xdr:cNvPr id="4" name="Picture 3" descr="The formula for calculating the Market Stabilisation Charge">
          <a:extLst>
            <a:ext uri="{FF2B5EF4-FFF2-40B4-BE49-F238E27FC236}">
              <a16:creationId xmlns:a16="http://schemas.microsoft.com/office/drawing/2014/main" id="{65A8CCBE-4750-4462-B48F-EC7DEF07554B}"/>
            </a:ext>
          </a:extLst>
        </xdr:cNvPr>
        <xdr:cNvPicPr>
          <a:picLocks noChangeAspect="1"/>
        </xdr:cNvPicPr>
      </xdr:nvPicPr>
      <xdr:blipFill>
        <a:blip xmlns:r="http://schemas.openxmlformats.org/officeDocument/2006/relationships" r:embed="rId2"/>
        <a:stretch>
          <a:fillRect/>
        </a:stretch>
      </xdr:blipFill>
      <xdr:spPr>
        <a:xfrm>
          <a:off x="6167438" y="916781"/>
          <a:ext cx="6691313" cy="57150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369094</xdr:colOff>
      <xdr:row>2</xdr:row>
      <xdr:rowOff>130969</xdr:rowOff>
    </xdr:from>
    <xdr:to>
      <xdr:col>21</xdr:col>
      <xdr:colOff>447675</xdr:colOff>
      <xdr:row>19</xdr:row>
      <xdr:rowOff>3137694</xdr:rowOff>
    </xdr:to>
    <xdr:grpSp>
      <xdr:nvGrpSpPr>
        <xdr:cNvPr id="9" name="Group 8" descr="Equation for the Wholesale element of the price cap">
          <a:extLst>
            <a:ext uri="{FF2B5EF4-FFF2-40B4-BE49-F238E27FC236}">
              <a16:creationId xmlns:a16="http://schemas.microsoft.com/office/drawing/2014/main" id="{00000000-0008-0000-0A00-000009000000}"/>
            </a:ext>
          </a:extLst>
        </xdr:cNvPr>
        <xdr:cNvGrpSpPr/>
      </xdr:nvGrpSpPr>
      <xdr:grpSpPr>
        <a:xfrm>
          <a:off x="4782344" y="1067594"/>
          <a:ext cx="8754269" cy="6999288"/>
          <a:chOff x="2462212" y="95250"/>
          <a:chExt cx="8686800" cy="6197600"/>
        </a:xfrm>
      </xdr:grpSpPr>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1"/>
          <a:stretch>
            <a:fillRect/>
          </a:stretch>
        </xdr:blipFill>
        <xdr:spPr>
          <a:xfrm>
            <a:off x="2462212" y="95250"/>
            <a:ext cx="7267575" cy="1562100"/>
          </a:xfrm>
          <a:prstGeom prst="rect">
            <a:avLst/>
          </a:prstGeom>
          <a:solidFill>
            <a:schemeClr val="bg1"/>
          </a:solidFill>
        </xdr:spPr>
      </xdr:pic>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2"/>
          <a:stretch>
            <a:fillRect/>
          </a:stretch>
        </xdr:blipFill>
        <xdr:spPr>
          <a:xfrm>
            <a:off x="2505074" y="1781175"/>
            <a:ext cx="7305674" cy="1371600"/>
          </a:xfrm>
          <a:prstGeom prst="rect">
            <a:avLst/>
          </a:prstGeom>
          <a:solidFill>
            <a:schemeClr val="bg1"/>
          </a:solidFill>
        </xdr:spPr>
      </xdr:pic>
      <xdr:pic>
        <xdr:nvPicPr>
          <xdr:cNvPr id="12" name="Picture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3"/>
          <a:stretch>
            <a:fillRect/>
          </a:stretch>
        </xdr:blipFill>
        <xdr:spPr>
          <a:xfrm>
            <a:off x="2505074" y="3101975"/>
            <a:ext cx="7305675" cy="1552575"/>
          </a:xfrm>
          <a:prstGeom prst="rect">
            <a:avLst/>
          </a:prstGeom>
          <a:solidFill>
            <a:schemeClr val="bg1"/>
          </a:solidFill>
        </xdr:spPr>
      </xdr:pic>
      <xdr:pic>
        <xdr:nvPicPr>
          <xdr:cNvPr id="13" name="Picture 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4"/>
          <a:stretch>
            <a:fillRect/>
          </a:stretch>
        </xdr:blipFill>
        <xdr:spPr>
          <a:xfrm>
            <a:off x="2719387" y="4648200"/>
            <a:ext cx="8429625" cy="1143000"/>
          </a:xfrm>
          <a:prstGeom prst="rect">
            <a:avLst/>
          </a:prstGeom>
          <a:solidFill>
            <a:schemeClr val="bg1"/>
          </a:solidFill>
        </xdr:spPr>
      </xdr:pic>
      <xdr:pic>
        <xdr:nvPicPr>
          <xdr:cNvPr id="14" name="Picture 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5"/>
          <a:stretch>
            <a:fillRect/>
          </a:stretch>
        </xdr:blipFill>
        <xdr:spPr>
          <a:xfrm>
            <a:off x="2871787" y="5778500"/>
            <a:ext cx="7096125" cy="514350"/>
          </a:xfrm>
          <a:prstGeom prst="rect">
            <a:avLst/>
          </a:prstGeom>
          <a:solidFill>
            <a:schemeClr val="bg1"/>
          </a:solidFill>
        </xdr:spPr>
      </xdr:pic>
      <xdr:pic>
        <xdr:nvPicPr>
          <xdr:cNvPr id="15" name="Picture 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6"/>
          <a:stretch>
            <a:fillRect/>
          </a:stretch>
        </xdr:blipFill>
        <xdr:spPr>
          <a:xfrm>
            <a:off x="2800350" y="4114800"/>
            <a:ext cx="6419850" cy="323850"/>
          </a:xfrm>
          <a:prstGeom prst="rect">
            <a:avLst/>
          </a:prstGeom>
        </xdr:spPr>
      </xdr:pic>
      <xdr:sp macro="" textlink="">
        <xdr:nvSpPr>
          <xdr:cNvPr id="16" name="Rectangle 15">
            <a:extLst>
              <a:ext uri="{FF2B5EF4-FFF2-40B4-BE49-F238E27FC236}">
                <a16:creationId xmlns:a16="http://schemas.microsoft.com/office/drawing/2014/main" id="{00000000-0008-0000-0A00-000010000000}"/>
              </a:ext>
            </a:extLst>
          </xdr:cNvPr>
          <xdr:cNvSpPr/>
        </xdr:nvSpPr>
        <xdr:spPr>
          <a:xfrm>
            <a:off x="9134475" y="4191000"/>
            <a:ext cx="676273"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grpSp>
    <xdr:clientData/>
  </xdr:twoCellAnchor>
  <xdr:twoCellAnchor>
    <xdr:from>
      <xdr:col>23</xdr:col>
      <xdr:colOff>776287</xdr:colOff>
      <xdr:row>20</xdr:row>
      <xdr:rowOff>176212</xdr:rowOff>
    </xdr:from>
    <xdr:to>
      <xdr:col>27</xdr:col>
      <xdr:colOff>588781</xdr:colOff>
      <xdr:row>41</xdr:row>
      <xdr:rowOff>43204</xdr:rowOff>
    </xdr:to>
    <xdr:sp macro="" textlink="">
      <xdr:nvSpPr>
        <xdr:cNvPr id="17" name="TextBox 16">
          <a:extLst>
            <a:ext uri="{FF2B5EF4-FFF2-40B4-BE49-F238E27FC236}">
              <a16:creationId xmlns:a16="http://schemas.microsoft.com/office/drawing/2014/main" id="{00000000-0008-0000-0A00-000011000000}"/>
            </a:ext>
          </a:extLst>
        </xdr:cNvPr>
        <xdr:cNvSpPr txBox="1"/>
      </xdr:nvSpPr>
      <xdr:spPr>
        <a:xfrm>
          <a:off x="15635287" y="7855743"/>
          <a:ext cx="4586900" cy="365318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NOTES:</a:t>
          </a:r>
        </a:p>
        <a:p>
          <a:endParaRPr lang="en-GB" sz="1100"/>
        </a:p>
        <a:p>
          <a:pPr marL="171450" indent="-171450">
            <a:buFont typeface="Arial" panose="020B0604020202020204" pitchFamily="34" charset="0"/>
            <a:buChar char="•"/>
          </a:pPr>
          <a:r>
            <a:rPr lang="en-GB" sz="1100" baseline="0">
              <a:solidFill>
                <a:schemeClr val="dk1"/>
              </a:solidFill>
              <a:effectLst/>
              <a:latin typeface="+mn-lt"/>
              <a:ea typeface="+mn-ea"/>
              <a:cs typeface="+mn-cs"/>
            </a:rPr>
            <a:t>W</a:t>
          </a:r>
          <a:r>
            <a:rPr lang="en-GB" sz="1100" baseline="-25000">
              <a:solidFill>
                <a:schemeClr val="dk1"/>
              </a:solidFill>
              <a:effectLst/>
              <a:latin typeface="+mn-lt"/>
              <a:ea typeface="+mn-ea"/>
              <a:cs typeface="+mn-cs"/>
            </a:rPr>
            <a:t>pc</a:t>
          </a:r>
          <a:r>
            <a:rPr lang="en-GB" sz="1100" baseline="0">
              <a:solidFill>
                <a:schemeClr val="dk1"/>
              </a:solidFill>
              <a:effectLst/>
              <a:latin typeface="+mn-lt"/>
              <a:ea typeface="+mn-ea"/>
              <a:cs typeface="+mn-cs"/>
            </a:rPr>
            <a:t> Published and W</a:t>
          </a:r>
          <a:r>
            <a:rPr lang="en-GB" sz="1100" baseline="-25000">
              <a:solidFill>
                <a:schemeClr val="dk1"/>
              </a:solidFill>
              <a:effectLst/>
              <a:latin typeface="+mn-lt"/>
              <a:ea typeface="+mn-ea"/>
              <a:cs typeface="+mn-cs"/>
            </a:rPr>
            <a:t>t</a:t>
          </a:r>
          <a:r>
            <a:rPr lang="en-GB" sz="1100" baseline="0">
              <a:solidFill>
                <a:schemeClr val="dk1"/>
              </a:solidFill>
              <a:effectLst/>
              <a:latin typeface="+mn-lt"/>
              <a:ea typeface="+mn-ea"/>
              <a:cs typeface="+mn-cs"/>
            </a:rPr>
            <a:t> Published calculate a W</a:t>
          </a:r>
          <a:r>
            <a:rPr lang="en-GB" sz="1100" baseline="-25000">
              <a:solidFill>
                <a:schemeClr val="dk1"/>
              </a:solidFill>
              <a:effectLst/>
              <a:latin typeface="+mn-lt"/>
              <a:ea typeface="+mn-ea"/>
              <a:cs typeface="+mn-cs"/>
            </a:rPr>
            <a:t>pc</a:t>
          </a:r>
          <a:r>
            <a:rPr lang="en-GB" sz="1100" baseline="0">
              <a:solidFill>
                <a:schemeClr val="dk1"/>
              </a:solidFill>
              <a:effectLst/>
              <a:latin typeface="+mn-lt"/>
              <a:ea typeface="+mn-ea"/>
              <a:cs typeface="+mn-cs"/>
            </a:rPr>
            <a:t> and W</a:t>
          </a:r>
          <a:r>
            <a:rPr lang="en-GB" sz="1100" baseline="-25000">
              <a:solidFill>
                <a:schemeClr val="dk1"/>
              </a:solidFill>
              <a:effectLst/>
              <a:latin typeface="+mn-lt"/>
              <a:ea typeface="+mn-ea"/>
              <a:cs typeface="+mn-cs"/>
            </a:rPr>
            <a:t>t </a:t>
          </a:r>
          <a:r>
            <a:rPr lang="en-GB" sz="1100" baseline="0">
              <a:solidFill>
                <a:schemeClr val="dk1"/>
              </a:solidFill>
              <a:effectLst/>
              <a:latin typeface="+mn-lt"/>
              <a:ea typeface="+mn-ea"/>
              <a:cs typeface="+mn-cs"/>
            </a:rPr>
            <a:t>average based on the previous week's tradying days' values.</a:t>
          </a:r>
          <a:br>
            <a:rPr lang="en-GB" sz="1100" baseline="0"/>
          </a:br>
          <a:endParaRPr lang="en-GB" sz="1100" baseline="0">
            <a:solidFill>
              <a:schemeClr val="dk1"/>
            </a:solidFill>
            <a:effectLst/>
            <a:latin typeface="+mn-lt"/>
            <a:ea typeface="+mn-ea"/>
            <a:cs typeface="+mn-cs"/>
          </a:endParaRPr>
        </a:p>
        <a:p>
          <a:pPr marL="0" indent="0">
            <a:buFontTx/>
            <a:buNone/>
          </a:pPr>
          <a:r>
            <a:rPr lang="en-GB" sz="1100" baseline="0">
              <a:solidFill>
                <a:schemeClr val="dk1"/>
              </a:solidFill>
              <a:effectLst/>
              <a:latin typeface="+mn-lt"/>
              <a:ea typeface="+mn-ea"/>
              <a:cs typeface="+mn-cs"/>
            </a:rPr>
            <a:t>ASSUMPTION: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PC</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PC</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and PC</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are dummy price index values for the current season, next season, and next +1 season respectively.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S</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and S</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refer to the seasonal weightings for each fuel type.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a:effectLst/>
            </a:rPr>
            <a:t>Calculating trading days: There are 131 Week Days in Summer 22. To calculate Trading Days we should deduct bank holidays. England Bank Holidays: 15/4/22, 18/4/22, 2/5/22, 2/6/22, 3/6/22, 29/8/22. Bank holiday</a:t>
          </a:r>
          <a:r>
            <a:rPr lang="en-GB" sz="1100" baseline="0">
              <a:effectLst/>
            </a:rPr>
            <a:t> dates are in </a:t>
          </a:r>
          <a:r>
            <a:rPr lang="en-GB" sz="1100" b="1" baseline="0">
              <a:effectLst/>
            </a:rPr>
            <a:t>bold</a:t>
          </a:r>
          <a:r>
            <a:rPr lang="en-GB" sz="1100" baseline="0">
              <a:effectLst/>
            </a:rPr>
            <a:t>.</a:t>
          </a: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indent="-171450">
            <a:buFont typeface="Arial" panose="020B0604020202020204" pitchFamily="34" charset="0"/>
            <a:buChar char="•"/>
          </a:pPr>
          <a:endParaRPr lang="en-GB" sz="1100"/>
        </a:p>
      </xdr:txBody>
    </xdr:sp>
    <xdr:clientData/>
  </xdr:twoCellAnchor>
  <xdr:twoCellAnchor editAs="oneCell">
    <xdr:from>
      <xdr:col>0</xdr:col>
      <xdr:colOff>0</xdr:colOff>
      <xdr:row>0</xdr:row>
      <xdr:rowOff>0</xdr:rowOff>
    </xdr:from>
    <xdr:to>
      <xdr:col>4</xdr:col>
      <xdr:colOff>419124</xdr:colOff>
      <xdr:row>0</xdr:row>
      <xdr:rowOff>713384</xdr:rowOff>
    </xdr:to>
    <xdr:pic>
      <xdr:nvPicPr>
        <xdr:cNvPr id="18" name="Picture 17" descr="image of the Ofgem logo" title="Ofgem logo">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descr="Graph of the Price cap index &amp; trigger point over time">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xdr:from>
      <xdr:col>7</xdr:col>
      <xdr:colOff>455613</xdr:colOff>
      <xdr:row>3</xdr:row>
      <xdr:rowOff>83342</xdr:rowOff>
    </xdr:from>
    <xdr:to>
      <xdr:col>21</xdr:col>
      <xdr:colOff>525463</xdr:colOff>
      <xdr:row>19</xdr:row>
      <xdr:rowOff>3112292</xdr:rowOff>
    </xdr:to>
    <xdr:grpSp>
      <xdr:nvGrpSpPr>
        <xdr:cNvPr id="10" name="Group 9" descr="Formula for the Wholesale Cost">
          <a:extLst>
            <a:ext uri="{FF2B5EF4-FFF2-40B4-BE49-F238E27FC236}">
              <a16:creationId xmlns:a16="http://schemas.microsoft.com/office/drawing/2014/main" id="{00000000-0008-0000-0C00-00000A000000}"/>
            </a:ext>
          </a:extLst>
        </xdr:cNvPr>
        <xdr:cNvGrpSpPr/>
      </xdr:nvGrpSpPr>
      <xdr:grpSpPr>
        <a:xfrm>
          <a:off x="4781551" y="1178717"/>
          <a:ext cx="8610600" cy="6759575"/>
          <a:chOff x="2295525" y="19050"/>
          <a:chExt cx="8553450" cy="5934075"/>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a:stretch>
            <a:fillRect/>
          </a:stretch>
        </xdr:blipFill>
        <xdr:spPr>
          <a:xfrm>
            <a:off x="2395537" y="19050"/>
            <a:ext cx="6791325" cy="1714500"/>
          </a:xfrm>
          <a:prstGeom prst="rect">
            <a:avLst/>
          </a:prstGeom>
        </xdr:spPr>
      </xdr:pic>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2"/>
          <a:stretch>
            <a:fillRect/>
          </a:stretch>
        </xdr:blipFill>
        <xdr:spPr>
          <a:xfrm>
            <a:off x="2295525" y="1733550"/>
            <a:ext cx="7391400" cy="1171575"/>
          </a:xfrm>
          <a:prstGeom prst="rect">
            <a:avLst/>
          </a:prstGeom>
        </xdr:spPr>
      </xdr:pic>
      <xdr:pic>
        <xdr:nvPicPr>
          <xdr:cNvPr id="13" name="Picture 12">
            <a:extLst>
              <a:ext uri="{FF2B5EF4-FFF2-40B4-BE49-F238E27FC236}">
                <a16:creationId xmlns:a16="http://schemas.microsoft.com/office/drawing/2014/main" id="{00000000-0008-0000-0C00-00000D000000}"/>
              </a:ext>
            </a:extLst>
          </xdr:cNvPr>
          <xdr:cNvPicPr>
            <a:picLocks noChangeAspect="1"/>
          </xdr:cNvPicPr>
        </xdr:nvPicPr>
        <xdr:blipFill>
          <a:blip xmlns:r="http://schemas.openxmlformats.org/officeDocument/2006/relationships" r:embed="rId3"/>
          <a:stretch>
            <a:fillRect/>
          </a:stretch>
        </xdr:blipFill>
        <xdr:spPr>
          <a:xfrm>
            <a:off x="2447925" y="2905125"/>
            <a:ext cx="7239000" cy="1504950"/>
          </a:xfrm>
          <a:prstGeom prst="rect">
            <a:avLst/>
          </a:prstGeom>
        </xdr:spPr>
      </xdr:pic>
      <xdr:pic>
        <xdr:nvPicPr>
          <xdr:cNvPr id="14" name="Picture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4"/>
          <a:stretch>
            <a:fillRect/>
          </a:stretch>
        </xdr:blipFill>
        <xdr:spPr>
          <a:xfrm>
            <a:off x="2505075" y="4394200"/>
            <a:ext cx="8343900" cy="1114425"/>
          </a:xfrm>
          <a:prstGeom prst="rect">
            <a:avLst/>
          </a:prstGeom>
        </xdr:spPr>
      </xdr:pic>
      <xdr:pic>
        <xdr:nvPicPr>
          <xdr:cNvPr id="15" name="Picture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5"/>
          <a:stretch>
            <a:fillRect/>
          </a:stretch>
        </xdr:blipFill>
        <xdr:spPr>
          <a:xfrm>
            <a:off x="2638425" y="5467350"/>
            <a:ext cx="6705600" cy="485775"/>
          </a:xfrm>
          <a:prstGeom prst="rect">
            <a:avLst/>
          </a:prstGeom>
        </xdr:spPr>
      </xdr:pic>
      <xdr:pic>
        <xdr:nvPicPr>
          <xdr:cNvPr id="16" name="Picture 15">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6"/>
          <a:stretch>
            <a:fillRect/>
          </a:stretch>
        </xdr:blipFill>
        <xdr:spPr>
          <a:xfrm>
            <a:off x="2505075" y="3887788"/>
            <a:ext cx="7143750" cy="274637"/>
          </a:xfrm>
          <a:prstGeom prst="rect">
            <a:avLst/>
          </a:prstGeom>
        </xdr:spPr>
      </xdr:pic>
    </xdr:grpSp>
    <xdr:clientData/>
  </xdr:twoCellAnchor>
  <xdr:twoCellAnchor>
    <xdr:from>
      <xdr:col>24</xdr:col>
      <xdr:colOff>127793</xdr:colOff>
      <xdr:row>21</xdr:row>
      <xdr:rowOff>11906</xdr:rowOff>
    </xdr:from>
    <xdr:to>
      <xdr:col>28</xdr:col>
      <xdr:colOff>504643</xdr:colOff>
      <xdr:row>41</xdr:row>
      <xdr:rowOff>60667</xdr:rowOff>
    </xdr:to>
    <xdr:sp macro="" textlink="">
      <xdr:nvSpPr>
        <xdr:cNvPr id="17" name="TextBox 16">
          <a:extLst>
            <a:ext uri="{FF2B5EF4-FFF2-40B4-BE49-F238E27FC236}">
              <a16:creationId xmlns:a16="http://schemas.microsoft.com/office/drawing/2014/main" id="{00000000-0008-0000-0C00-000011000000}"/>
            </a:ext>
          </a:extLst>
        </xdr:cNvPr>
        <xdr:cNvSpPr txBox="1"/>
      </xdr:nvSpPr>
      <xdr:spPr>
        <a:xfrm>
          <a:off x="15201106" y="7810500"/>
          <a:ext cx="4567850" cy="365635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NOTES:</a:t>
          </a:r>
        </a:p>
        <a:p>
          <a:endParaRPr lang="en-GB" sz="1100"/>
        </a:p>
        <a:p>
          <a:pPr marL="171450" indent="-171450">
            <a:buFont typeface="Arial" panose="020B0604020202020204" pitchFamily="34" charset="0"/>
            <a:buChar char="•"/>
          </a:pPr>
          <a:r>
            <a:rPr lang="en-GB" sz="1100" baseline="0"/>
            <a:t>W</a:t>
          </a:r>
          <a:r>
            <a:rPr lang="en-GB" sz="1100" baseline="-25000"/>
            <a:t>c</a:t>
          </a:r>
          <a:r>
            <a:rPr lang="en-GB" sz="1100" baseline="0"/>
            <a:t> is calculated for each Trading Day of the P8 period. </a:t>
          </a:r>
          <a:r>
            <a:rPr lang="en-GB" sz="1100" baseline="0">
              <a:solidFill>
                <a:schemeClr val="dk1"/>
              </a:solidFill>
              <a:effectLst/>
              <a:latin typeface="+mn-lt"/>
              <a:ea typeface="+mn-ea"/>
              <a:cs typeface="+mn-cs"/>
            </a:rPr>
            <a:t>W</a:t>
          </a:r>
          <a:r>
            <a:rPr lang="en-GB" sz="1100" baseline="-25000">
              <a:solidFill>
                <a:schemeClr val="dk1"/>
              </a:solidFill>
              <a:effectLst/>
              <a:latin typeface="+mn-lt"/>
              <a:ea typeface="+mn-ea"/>
              <a:cs typeface="+mn-cs"/>
            </a:rPr>
            <a:t>c</a:t>
          </a:r>
          <a:r>
            <a:rPr lang="en-GB" sz="1100" baseline="0">
              <a:solidFill>
                <a:schemeClr val="dk1"/>
              </a:solidFill>
              <a:effectLst/>
              <a:latin typeface="+mn-lt"/>
              <a:ea typeface="+mn-ea"/>
              <a:cs typeface="+mn-cs"/>
            </a:rPr>
            <a:t> Published calculates a W</a:t>
          </a:r>
          <a:r>
            <a:rPr lang="en-GB" sz="1100" baseline="-25000">
              <a:solidFill>
                <a:schemeClr val="dk1"/>
              </a:solidFill>
              <a:effectLst/>
              <a:latin typeface="+mn-lt"/>
              <a:ea typeface="+mn-ea"/>
              <a:cs typeface="+mn-cs"/>
            </a:rPr>
            <a:t>c</a:t>
          </a:r>
          <a:r>
            <a:rPr lang="en-GB" sz="1100" baseline="0">
              <a:solidFill>
                <a:schemeClr val="dk1"/>
              </a:solidFill>
              <a:effectLst/>
              <a:latin typeface="+mn-lt"/>
              <a:ea typeface="+mn-ea"/>
              <a:cs typeface="+mn-cs"/>
            </a:rPr>
            <a:t> average based on the previous week's tradying days' values.</a:t>
          </a:r>
          <a:br>
            <a:rPr lang="en-GB" sz="1100" baseline="0"/>
          </a:br>
          <a:endParaRPr lang="en-GB" sz="1100" baseline="0">
            <a:solidFill>
              <a:schemeClr val="dk1"/>
            </a:solidFill>
            <a:effectLst/>
            <a:latin typeface="+mn-lt"/>
            <a:ea typeface="+mn-ea"/>
            <a:cs typeface="+mn-cs"/>
          </a:endParaRPr>
        </a:p>
        <a:p>
          <a:pPr marL="0" indent="0">
            <a:buFontTx/>
            <a:buNone/>
          </a:pPr>
          <a:r>
            <a:rPr lang="en-GB" sz="1100" baseline="0">
              <a:solidFill>
                <a:schemeClr val="dk1"/>
              </a:solidFill>
              <a:effectLst/>
              <a:latin typeface="+mn-lt"/>
              <a:ea typeface="+mn-ea"/>
              <a:cs typeface="+mn-cs"/>
            </a:rPr>
            <a:t>ASSUMPTION: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It assumes that W</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W</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and W</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are dynamic terms, that is, they reflect the latest value of wholesale costs from a suite of forward contracts (seasonal, quarterly, monthly ). These are modelled as falling over time but with a degree of volatility.</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S</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and S</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refer to the seasonal weightings for each fuel type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a:effectLst/>
            </a:rPr>
            <a:t>Calculating trading days: There are 131 Week Days in Summer 22. To calculate Trading Days we should deduct bank holidays. England Bank Holidays: 15/4/22, 18/4/22, 2/5/22, 2/6/22, 3/6/22, 29/8/22. Bank holidays have been removed</a:t>
          </a:r>
          <a:r>
            <a:rPr lang="en-GB" sz="1100" baseline="0">
              <a:effectLst/>
            </a:rPr>
            <a:t>.</a:t>
          </a: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indent="-171450">
            <a:buFont typeface="Arial" panose="020B0604020202020204" pitchFamily="34" charset="0"/>
            <a:buChar char="•"/>
          </a:pPr>
          <a:endParaRPr lang="en-GB" sz="1100"/>
        </a:p>
      </xdr:txBody>
    </xdr:sp>
    <xdr:clientData/>
  </xdr:twoCellAnchor>
  <xdr:twoCellAnchor editAs="oneCell">
    <xdr:from>
      <xdr:col>0</xdr:col>
      <xdr:colOff>0</xdr:colOff>
      <xdr:row>0</xdr:row>
      <xdr:rowOff>0</xdr:rowOff>
    </xdr:from>
    <xdr:to>
      <xdr:col>4</xdr:col>
      <xdr:colOff>483417</xdr:colOff>
      <xdr:row>0</xdr:row>
      <xdr:rowOff>716559</xdr:rowOff>
    </xdr:to>
    <xdr:pic>
      <xdr:nvPicPr>
        <xdr:cNvPr id="18" name="Picture 17" descr="image of the Ofgem logo" title="Ofgem logo">
          <a:extLst>
            <a:ext uri="{FF2B5EF4-FFF2-40B4-BE49-F238E27FC236}">
              <a16:creationId xmlns:a16="http://schemas.microsoft.com/office/drawing/2014/main" id="{00000000-0008-0000-0C00-00001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descr="Graph of the MSC wholesale cost value vs. forward prices">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7167</xdr:colOff>
      <xdr:row>4</xdr:row>
      <xdr:rowOff>8533</xdr:rowOff>
    </xdr:to>
    <xdr:pic>
      <xdr:nvPicPr>
        <xdr:cNvPr id="2" name="Picture 1" descr="image of the Ofgem logo" title="Ofgem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4" y="0"/>
          <a:ext cx="3145655" cy="713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4211383" y="0"/>
    <xdr:ext cx="9380340" cy="6096000"/>
    <xdr:graphicFrame macro="">
      <xdr:nvGraphicFramePr>
        <xdr:cNvPr id="173" name="Chart 1" descr="Graph showing the Wholesale Cost, Trigger Point &amp; Market Stabilisation Charge&#10;&#10;">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0</xdr:rowOff>
    </xdr:from>
    <xdr:to>
      <xdr:col>0</xdr:col>
      <xdr:colOff>3150417</xdr:colOff>
      <xdr:row>1</xdr:row>
      <xdr:rowOff>170458</xdr:rowOff>
    </xdr:to>
    <xdr:pic>
      <xdr:nvPicPr>
        <xdr:cNvPr id="4" name="Picture 3" descr="image of the Ofgem logo" title="Ofgem 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769961</xdr:colOff>
      <xdr:row>0</xdr:row>
      <xdr:rowOff>713384</xdr:rowOff>
    </xdr:to>
    <xdr:pic>
      <xdr:nvPicPr>
        <xdr:cNvPr id="4" name="Picture 3" descr="image of the Ofgem logo" title="Ofgem 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twoCellAnchor editAs="oneCell">
    <xdr:from>
      <xdr:col>7</xdr:col>
      <xdr:colOff>11905</xdr:colOff>
      <xdr:row>1</xdr:row>
      <xdr:rowOff>23811</xdr:rowOff>
    </xdr:from>
    <xdr:to>
      <xdr:col>8</xdr:col>
      <xdr:colOff>0</xdr:colOff>
      <xdr:row>31</xdr:row>
      <xdr:rowOff>26987</xdr:rowOff>
    </xdr:to>
    <xdr:pic>
      <xdr:nvPicPr>
        <xdr:cNvPr id="2" name="Picture 1" descr="Formula for Market Stabilisation Charge" title="Formula for Market Stabilisation Charge">
          <a:extLst>
            <a:ext uri="{FF2B5EF4-FFF2-40B4-BE49-F238E27FC236}">
              <a16:creationId xmlns:a16="http://schemas.microsoft.com/office/drawing/2014/main" id="{D35F985C-7E76-4AB4-944E-515892C13323}"/>
            </a:ext>
            <a:ext uri="{147F2762-F138-4A5C-976F-8EAC2B608ADB}">
              <a16:predDERef xmlns:a16="http://schemas.microsoft.com/office/drawing/2014/main" pred="{00000000-0008-0000-0300-000004000000}"/>
            </a:ext>
          </a:extLst>
        </xdr:cNvPr>
        <xdr:cNvPicPr>
          <a:picLocks noChangeAspect="1"/>
        </xdr:cNvPicPr>
      </xdr:nvPicPr>
      <xdr:blipFill>
        <a:blip xmlns:r="http://schemas.openxmlformats.org/officeDocument/2006/relationships" r:embed="rId2"/>
        <a:stretch>
          <a:fillRect/>
        </a:stretch>
      </xdr:blipFill>
      <xdr:spPr>
        <a:xfrm>
          <a:off x="6179343" y="809624"/>
          <a:ext cx="6691313" cy="57150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421482</xdr:colOff>
      <xdr:row>2</xdr:row>
      <xdr:rowOff>76198</xdr:rowOff>
    </xdr:from>
    <xdr:to>
      <xdr:col>20</xdr:col>
      <xdr:colOff>877888</xdr:colOff>
      <xdr:row>19</xdr:row>
      <xdr:rowOff>3086098</xdr:rowOff>
    </xdr:to>
    <xdr:grpSp>
      <xdr:nvGrpSpPr>
        <xdr:cNvPr id="756" name="Group 7" descr="The formula for calculating the Wholesale element of the Price Cap">
          <a:extLst>
            <a:ext uri="{FF2B5EF4-FFF2-40B4-BE49-F238E27FC236}">
              <a16:creationId xmlns:a16="http://schemas.microsoft.com/office/drawing/2014/main" id="{00000000-0008-0000-0400-000008000000}"/>
            </a:ext>
          </a:extLst>
        </xdr:cNvPr>
        <xdr:cNvGrpSpPr/>
      </xdr:nvGrpSpPr>
      <xdr:grpSpPr>
        <a:xfrm>
          <a:off x="4287045" y="1044573"/>
          <a:ext cx="8743156" cy="6923088"/>
          <a:chOff x="2462212" y="95250"/>
          <a:chExt cx="8686800" cy="6197600"/>
        </a:xfrm>
      </xdr:grpSpPr>
      <xdr:pic>
        <xdr:nvPicPr>
          <xdr:cNvPr id="757"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462212" y="95250"/>
            <a:ext cx="7267575" cy="1562100"/>
          </a:xfrm>
          <a:prstGeom prst="rect">
            <a:avLst/>
          </a:prstGeom>
          <a:solidFill>
            <a:schemeClr val="bg1"/>
          </a:solidFill>
        </xdr:spPr>
      </xdr:pic>
      <xdr:pic>
        <xdr:nvPicPr>
          <xdr:cNvPr id="758"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a:stretch>
            <a:fillRect/>
          </a:stretch>
        </xdr:blipFill>
        <xdr:spPr>
          <a:xfrm>
            <a:off x="2505074" y="1781175"/>
            <a:ext cx="7305674" cy="1371600"/>
          </a:xfrm>
          <a:prstGeom prst="rect">
            <a:avLst/>
          </a:prstGeom>
          <a:solidFill>
            <a:schemeClr val="bg1"/>
          </a:solidFill>
        </xdr:spPr>
      </xdr:pic>
      <xdr:pic>
        <xdr:nvPicPr>
          <xdr:cNvPr id="759" name="Picture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a:stretch>
            <a:fillRect/>
          </a:stretch>
        </xdr:blipFill>
        <xdr:spPr>
          <a:xfrm>
            <a:off x="2505074" y="3101975"/>
            <a:ext cx="7305675" cy="1552575"/>
          </a:xfrm>
          <a:prstGeom prst="rect">
            <a:avLst/>
          </a:prstGeom>
          <a:solidFill>
            <a:schemeClr val="bg1"/>
          </a:solidFill>
        </xdr:spPr>
      </xdr:pic>
      <xdr:pic>
        <xdr:nvPicPr>
          <xdr:cNvPr id="760"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4"/>
          <a:stretch>
            <a:fillRect/>
          </a:stretch>
        </xdr:blipFill>
        <xdr:spPr>
          <a:xfrm>
            <a:off x="2719387" y="4648200"/>
            <a:ext cx="8429625" cy="1143000"/>
          </a:xfrm>
          <a:prstGeom prst="rect">
            <a:avLst/>
          </a:prstGeom>
          <a:solidFill>
            <a:schemeClr val="bg1"/>
          </a:solidFill>
        </xdr:spPr>
      </xdr:pic>
      <xdr:pic>
        <xdr:nvPicPr>
          <xdr:cNvPr id="761"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5"/>
          <a:stretch>
            <a:fillRect/>
          </a:stretch>
        </xdr:blipFill>
        <xdr:spPr>
          <a:xfrm>
            <a:off x="2871787" y="5778500"/>
            <a:ext cx="7096125" cy="514350"/>
          </a:xfrm>
          <a:prstGeom prst="rect">
            <a:avLst/>
          </a:prstGeom>
          <a:solidFill>
            <a:schemeClr val="bg1"/>
          </a:solidFill>
        </xdr:spPr>
      </xdr:pic>
      <xdr:pic>
        <xdr:nvPicPr>
          <xdr:cNvPr id="762" name="Picture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6"/>
          <a:stretch>
            <a:fillRect/>
          </a:stretch>
        </xdr:blipFill>
        <xdr:spPr>
          <a:xfrm>
            <a:off x="2800350" y="4114800"/>
            <a:ext cx="6419850" cy="323850"/>
          </a:xfrm>
          <a:prstGeom prst="rect">
            <a:avLst/>
          </a:prstGeom>
        </xdr:spPr>
      </xdr:pic>
      <xdr:sp macro="" textlink="">
        <xdr:nvSpPr>
          <xdr:cNvPr id="763" name="Rectangle 19">
            <a:extLst>
              <a:ext uri="{FF2B5EF4-FFF2-40B4-BE49-F238E27FC236}">
                <a16:creationId xmlns:a16="http://schemas.microsoft.com/office/drawing/2014/main" id="{00000000-0008-0000-0400-000014000000}"/>
              </a:ext>
            </a:extLst>
          </xdr:cNvPr>
          <xdr:cNvSpPr/>
        </xdr:nvSpPr>
        <xdr:spPr>
          <a:xfrm>
            <a:off x="9134475" y="4191000"/>
            <a:ext cx="676273"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grpSp>
    <xdr:clientData/>
  </xdr:twoCellAnchor>
  <xdr:twoCellAnchor>
    <xdr:from>
      <xdr:col>23</xdr:col>
      <xdr:colOff>503238</xdr:colOff>
      <xdr:row>19</xdr:row>
      <xdr:rowOff>3467893</xdr:rowOff>
    </xdr:from>
    <xdr:to>
      <xdr:col>27</xdr:col>
      <xdr:colOff>315732</xdr:colOff>
      <xdr:row>40</xdr:row>
      <xdr:rowOff>13041</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15505113" y="7575549"/>
          <a:ext cx="4586900" cy="365318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NOTES:</a:t>
          </a:r>
        </a:p>
        <a:p>
          <a:endParaRPr lang="en-GB" sz="1100"/>
        </a:p>
        <a:p>
          <a:pPr marL="171450" indent="-171450">
            <a:buFont typeface="Arial" panose="020B0604020202020204" pitchFamily="34" charset="0"/>
            <a:buChar char="•"/>
          </a:pPr>
          <a:r>
            <a:rPr lang="en-GB" sz="1100" baseline="0">
              <a:solidFill>
                <a:schemeClr val="dk1"/>
              </a:solidFill>
              <a:effectLst/>
              <a:latin typeface="+mn-lt"/>
              <a:ea typeface="+mn-ea"/>
              <a:cs typeface="+mn-cs"/>
            </a:rPr>
            <a:t>W</a:t>
          </a:r>
          <a:r>
            <a:rPr lang="en-GB" sz="1100" baseline="-25000">
              <a:solidFill>
                <a:schemeClr val="dk1"/>
              </a:solidFill>
              <a:effectLst/>
              <a:latin typeface="+mn-lt"/>
              <a:ea typeface="+mn-ea"/>
              <a:cs typeface="+mn-cs"/>
            </a:rPr>
            <a:t>pc</a:t>
          </a:r>
          <a:r>
            <a:rPr lang="en-GB" sz="1100" baseline="0">
              <a:solidFill>
                <a:schemeClr val="dk1"/>
              </a:solidFill>
              <a:effectLst/>
              <a:latin typeface="+mn-lt"/>
              <a:ea typeface="+mn-ea"/>
              <a:cs typeface="+mn-cs"/>
            </a:rPr>
            <a:t> Published and W</a:t>
          </a:r>
          <a:r>
            <a:rPr lang="en-GB" sz="1100" baseline="-25000">
              <a:solidFill>
                <a:schemeClr val="dk1"/>
              </a:solidFill>
              <a:effectLst/>
              <a:latin typeface="+mn-lt"/>
              <a:ea typeface="+mn-ea"/>
              <a:cs typeface="+mn-cs"/>
            </a:rPr>
            <a:t>t</a:t>
          </a:r>
          <a:r>
            <a:rPr lang="en-GB" sz="1100" baseline="0">
              <a:solidFill>
                <a:schemeClr val="dk1"/>
              </a:solidFill>
              <a:effectLst/>
              <a:latin typeface="+mn-lt"/>
              <a:ea typeface="+mn-ea"/>
              <a:cs typeface="+mn-cs"/>
            </a:rPr>
            <a:t> Published calculate a W</a:t>
          </a:r>
          <a:r>
            <a:rPr lang="en-GB" sz="1100" baseline="-25000">
              <a:solidFill>
                <a:schemeClr val="dk1"/>
              </a:solidFill>
              <a:effectLst/>
              <a:latin typeface="+mn-lt"/>
              <a:ea typeface="+mn-ea"/>
              <a:cs typeface="+mn-cs"/>
            </a:rPr>
            <a:t>pc</a:t>
          </a:r>
          <a:r>
            <a:rPr lang="en-GB" sz="1100" baseline="0">
              <a:solidFill>
                <a:schemeClr val="dk1"/>
              </a:solidFill>
              <a:effectLst/>
              <a:latin typeface="+mn-lt"/>
              <a:ea typeface="+mn-ea"/>
              <a:cs typeface="+mn-cs"/>
            </a:rPr>
            <a:t> and W</a:t>
          </a:r>
          <a:r>
            <a:rPr lang="en-GB" sz="1100" baseline="-25000">
              <a:solidFill>
                <a:schemeClr val="dk1"/>
              </a:solidFill>
              <a:effectLst/>
              <a:latin typeface="+mn-lt"/>
              <a:ea typeface="+mn-ea"/>
              <a:cs typeface="+mn-cs"/>
            </a:rPr>
            <a:t>t </a:t>
          </a:r>
          <a:r>
            <a:rPr lang="en-GB" sz="1100" baseline="0">
              <a:solidFill>
                <a:schemeClr val="dk1"/>
              </a:solidFill>
              <a:effectLst/>
              <a:latin typeface="+mn-lt"/>
              <a:ea typeface="+mn-ea"/>
              <a:cs typeface="+mn-cs"/>
            </a:rPr>
            <a:t>average based on the previous week's tradying days' values.</a:t>
          </a:r>
          <a:br>
            <a:rPr lang="en-GB" sz="1100" baseline="0"/>
          </a:br>
          <a:endParaRPr lang="en-GB" sz="1100" baseline="0">
            <a:solidFill>
              <a:schemeClr val="dk1"/>
            </a:solidFill>
            <a:effectLst/>
            <a:latin typeface="+mn-lt"/>
            <a:ea typeface="+mn-ea"/>
            <a:cs typeface="+mn-cs"/>
          </a:endParaRPr>
        </a:p>
        <a:p>
          <a:pPr marL="0" indent="0">
            <a:buFontTx/>
            <a:buNone/>
          </a:pPr>
          <a:r>
            <a:rPr lang="en-GB" sz="1100" baseline="0">
              <a:solidFill>
                <a:schemeClr val="dk1"/>
              </a:solidFill>
              <a:effectLst/>
              <a:latin typeface="+mn-lt"/>
              <a:ea typeface="+mn-ea"/>
              <a:cs typeface="+mn-cs"/>
            </a:rPr>
            <a:t>ASSUMPTION: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PC</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PC</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and PC</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are dummy price index values for the current season, next season, and next +1 season respectively.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S</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and S</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refer to the seasonal weightings for each fuel type.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a:effectLst/>
            </a:rPr>
            <a:t>Calculating trading days: There are 131 Week Days in Summer 22. To calculate Trading Days we should deduct bank holidays. England Bank Holidays: 15/4/22, 18/4/22, 2/5/22, 2/6/22, 3/6/22, 29/8/22. Bank holiday</a:t>
          </a:r>
          <a:r>
            <a:rPr lang="en-GB" sz="1100" baseline="0">
              <a:effectLst/>
            </a:rPr>
            <a:t> dates are in </a:t>
          </a:r>
          <a:r>
            <a:rPr lang="en-GB" sz="1100" b="1" baseline="0">
              <a:effectLst/>
            </a:rPr>
            <a:t>bold</a:t>
          </a:r>
          <a:r>
            <a:rPr lang="en-GB" sz="1100" baseline="0">
              <a:effectLst/>
            </a:rPr>
            <a:t>.</a:t>
          </a: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indent="-171450">
            <a:buFont typeface="Arial" panose="020B0604020202020204" pitchFamily="34" charset="0"/>
            <a:buChar char="•"/>
          </a:pPr>
          <a:endParaRPr lang="en-GB" sz="1100"/>
        </a:p>
      </xdr:txBody>
    </xdr:sp>
    <xdr:clientData/>
  </xdr:twoCellAnchor>
  <xdr:twoCellAnchor editAs="oneCell">
    <xdr:from>
      <xdr:col>0</xdr:col>
      <xdr:colOff>0</xdr:colOff>
      <xdr:row>0</xdr:row>
      <xdr:rowOff>0</xdr:rowOff>
    </xdr:from>
    <xdr:to>
      <xdr:col>4</xdr:col>
      <xdr:colOff>419124</xdr:colOff>
      <xdr:row>0</xdr:row>
      <xdr:rowOff>713384</xdr:rowOff>
    </xdr:to>
    <xdr:pic>
      <xdr:nvPicPr>
        <xdr:cNvPr id="22" name="Picture 21" descr="image of the Ofgem logo" title="Ofgem logo">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8657167" cy="6286500"/>
    <xdr:graphicFrame macro="">
      <xdr:nvGraphicFramePr>
        <xdr:cNvPr id="92" name="Chart 1" descr="Graph showing the Price Cap index &amp; Trigger Point over time">
          <a:extLst>
            <a:ext uri="{FF2B5EF4-FFF2-40B4-BE49-F238E27FC236}">
              <a16:creationId xmlns:a16="http://schemas.microsoft.com/office/drawing/2014/main" id="{00000000-0008-0000-05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25</xdr:col>
      <xdr:colOff>6805</xdr:colOff>
      <xdr:row>21</xdr:row>
      <xdr:rowOff>12563</xdr:rowOff>
    </xdr:from>
    <xdr:to>
      <xdr:col>29</xdr:col>
      <xdr:colOff>151086</xdr:colOff>
      <xdr:row>41</xdr:row>
      <xdr:rowOff>61324</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4802305" y="7010263"/>
          <a:ext cx="4386081" cy="364286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NOTES:</a:t>
          </a:r>
        </a:p>
        <a:p>
          <a:endParaRPr lang="en-GB" sz="1100"/>
        </a:p>
        <a:p>
          <a:pPr marL="171450" indent="-171450">
            <a:buFont typeface="Arial" panose="020B0604020202020204" pitchFamily="34" charset="0"/>
            <a:buChar char="•"/>
          </a:pPr>
          <a:r>
            <a:rPr lang="en-GB" sz="1100" baseline="0"/>
            <a:t>W</a:t>
          </a:r>
          <a:r>
            <a:rPr lang="en-GB" sz="1100" baseline="-25000"/>
            <a:t>c</a:t>
          </a:r>
          <a:r>
            <a:rPr lang="en-GB" sz="1100" baseline="0"/>
            <a:t> is calculated for each Trading Day of the P8 period. </a:t>
          </a:r>
          <a:r>
            <a:rPr lang="en-GB" sz="1100" baseline="0">
              <a:solidFill>
                <a:schemeClr val="dk1"/>
              </a:solidFill>
              <a:effectLst/>
              <a:latin typeface="+mn-lt"/>
              <a:ea typeface="+mn-ea"/>
              <a:cs typeface="+mn-cs"/>
            </a:rPr>
            <a:t>W</a:t>
          </a:r>
          <a:r>
            <a:rPr lang="en-GB" sz="1100" baseline="-25000">
              <a:solidFill>
                <a:schemeClr val="dk1"/>
              </a:solidFill>
              <a:effectLst/>
              <a:latin typeface="+mn-lt"/>
              <a:ea typeface="+mn-ea"/>
              <a:cs typeface="+mn-cs"/>
            </a:rPr>
            <a:t>c</a:t>
          </a:r>
          <a:r>
            <a:rPr lang="en-GB" sz="1100" baseline="0">
              <a:solidFill>
                <a:schemeClr val="dk1"/>
              </a:solidFill>
              <a:effectLst/>
              <a:latin typeface="+mn-lt"/>
              <a:ea typeface="+mn-ea"/>
              <a:cs typeface="+mn-cs"/>
            </a:rPr>
            <a:t> Published calculates a W</a:t>
          </a:r>
          <a:r>
            <a:rPr lang="en-GB" sz="1100" baseline="-25000">
              <a:solidFill>
                <a:schemeClr val="dk1"/>
              </a:solidFill>
              <a:effectLst/>
              <a:latin typeface="+mn-lt"/>
              <a:ea typeface="+mn-ea"/>
              <a:cs typeface="+mn-cs"/>
            </a:rPr>
            <a:t>c</a:t>
          </a:r>
          <a:r>
            <a:rPr lang="en-GB" sz="1100" baseline="0">
              <a:solidFill>
                <a:schemeClr val="dk1"/>
              </a:solidFill>
              <a:effectLst/>
              <a:latin typeface="+mn-lt"/>
              <a:ea typeface="+mn-ea"/>
              <a:cs typeface="+mn-cs"/>
            </a:rPr>
            <a:t> average based on the previous week's trading days' values.</a:t>
          </a:r>
          <a:br>
            <a:rPr lang="en-GB" sz="1100" baseline="0"/>
          </a:br>
          <a:endParaRPr lang="en-GB" sz="1100" baseline="0">
            <a:solidFill>
              <a:schemeClr val="dk1"/>
            </a:solidFill>
            <a:effectLst/>
            <a:latin typeface="+mn-lt"/>
            <a:ea typeface="+mn-ea"/>
            <a:cs typeface="+mn-cs"/>
          </a:endParaRPr>
        </a:p>
        <a:p>
          <a:pPr marL="0" indent="0">
            <a:buFontTx/>
            <a:buNone/>
          </a:pPr>
          <a:r>
            <a:rPr lang="en-GB" sz="1100" baseline="0">
              <a:solidFill>
                <a:schemeClr val="dk1"/>
              </a:solidFill>
              <a:effectLst/>
              <a:latin typeface="+mn-lt"/>
              <a:ea typeface="+mn-ea"/>
              <a:cs typeface="+mn-cs"/>
            </a:rPr>
            <a:t>ASSUMPTION: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It assumes that W</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W</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and W</a:t>
          </a:r>
          <a:r>
            <a:rPr lang="en-GB" sz="1100" baseline="-25000">
              <a:solidFill>
                <a:schemeClr val="dk1"/>
              </a:solidFill>
              <a:effectLst/>
              <a:latin typeface="+mn-lt"/>
              <a:ea typeface="+mn-ea"/>
              <a:cs typeface="+mn-cs"/>
            </a:rPr>
            <a:t>n+2</a:t>
          </a:r>
          <a:r>
            <a:rPr lang="en-GB" sz="1100" baseline="0">
              <a:solidFill>
                <a:schemeClr val="dk1"/>
              </a:solidFill>
              <a:effectLst/>
              <a:latin typeface="+mn-lt"/>
              <a:ea typeface="+mn-ea"/>
              <a:cs typeface="+mn-cs"/>
            </a:rPr>
            <a:t> are dynamic terms, that is, they reflect the latest value of wholesale costs from a suite of forward contracts (seasonal, quarterly, monthly ). These are modelled as falling over time but with a degree of volatility.</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dk1"/>
              </a:solidFill>
              <a:effectLst/>
              <a:latin typeface="+mn-lt"/>
              <a:ea typeface="+mn-ea"/>
              <a:cs typeface="+mn-cs"/>
            </a:rPr>
            <a:t>S</a:t>
          </a:r>
          <a:r>
            <a:rPr lang="en-GB" sz="1100" baseline="-25000">
              <a:solidFill>
                <a:schemeClr val="dk1"/>
              </a:solidFill>
              <a:effectLst/>
              <a:latin typeface="+mn-lt"/>
              <a:ea typeface="+mn-ea"/>
              <a:cs typeface="+mn-cs"/>
            </a:rPr>
            <a:t>n</a:t>
          </a:r>
          <a:r>
            <a:rPr lang="en-GB" sz="1100" baseline="0">
              <a:solidFill>
                <a:schemeClr val="dk1"/>
              </a:solidFill>
              <a:effectLst/>
              <a:latin typeface="+mn-lt"/>
              <a:ea typeface="+mn-ea"/>
              <a:cs typeface="+mn-cs"/>
            </a:rPr>
            <a:t> and S</a:t>
          </a:r>
          <a:r>
            <a:rPr lang="en-GB" sz="1100" baseline="-25000">
              <a:solidFill>
                <a:schemeClr val="dk1"/>
              </a:solidFill>
              <a:effectLst/>
              <a:latin typeface="+mn-lt"/>
              <a:ea typeface="+mn-ea"/>
              <a:cs typeface="+mn-cs"/>
            </a:rPr>
            <a:t>n+1</a:t>
          </a:r>
          <a:r>
            <a:rPr lang="en-GB" sz="1100" baseline="0">
              <a:solidFill>
                <a:schemeClr val="dk1"/>
              </a:solidFill>
              <a:effectLst/>
              <a:latin typeface="+mn-lt"/>
              <a:ea typeface="+mn-ea"/>
              <a:cs typeface="+mn-cs"/>
            </a:rPr>
            <a:t> refer to the seasonal weightings for each fuel type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a:effectLst/>
            </a:rPr>
            <a:t>Calculating trading days: There are 131 Week Days in Summer 22. To calculate Trading Days we should deduct bank holidays. England Bank Holidays: 15/4/22, 18/4/22, 2/5/22, 2/6/22, 3/6/22, 29/8/22. Bank holidays have been removed</a:t>
          </a:r>
          <a:r>
            <a:rPr lang="en-GB" sz="1100" baseline="0">
              <a:effectLst/>
            </a:rPr>
            <a:t>.</a:t>
          </a: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indent="-171450">
            <a:buFont typeface="Arial" panose="020B0604020202020204" pitchFamily="34" charset="0"/>
            <a:buChar char="•"/>
          </a:pPr>
          <a:endParaRPr lang="en-GB" sz="1100"/>
        </a:p>
      </xdr:txBody>
    </xdr:sp>
    <xdr:clientData/>
  </xdr:twoCellAnchor>
  <xdr:twoCellAnchor>
    <xdr:from>
      <xdr:col>8</xdr:col>
      <xdr:colOff>92075</xdr:colOff>
      <xdr:row>5</xdr:row>
      <xdr:rowOff>59532</xdr:rowOff>
    </xdr:from>
    <xdr:to>
      <xdr:col>21</xdr:col>
      <xdr:colOff>617537</xdr:colOff>
      <xdr:row>19</xdr:row>
      <xdr:rowOff>3001963</xdr:rowOff>
    </xdr:to>
    <xdr:grpSp>
      <xdr:nvGrpSpPr>
        <xdr:cNvPr id="18" name="Group 17" descr="Equation for calculating the Wholesale cost">
          <a:extLst>
            <a:ext uri="{FF2B5EF4-FFF2-40B4-BE49-F238E27FC236}">
              <a16:creationId xmlns:a16="http://schemas.microsoft.com/office/drawing/2014/main" id="{00000000-0008-0000-0600-000012000000}"/>
            </a:ext>
          </a:extLst>
        </xdr:cNvPr>
        <xdr:cNvGrpSpPr/>
      </xdr:nvGrpSpPr>
      <xdr:grpSpPr>
        <a:xfrm>
          <a:off x="5465763" y="1702595"/>
          <a:ext cx="8589962" cy="5958681"/>
          <a:chOff x="2295525" y="19050"/>
          <a:chExt cx="8553450" cy="5934075"/>
        </a:xfrm>
      </xdr:grpSpPr>
      <xdr:pic>
        <xdr:nvPicPr>
          <xdr:cNvPr id="19" name="Picture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
          <a:stretch>
            <a:fillRect/>
          </a:stretch>
        </xdr:blipFill>
        <xdr:spPr>
          <a:xfrm>
            <a:off x="2395537" y="19050"/>
            <a:ext cx="6791325" cy="1714500"/>
          </a:xfrm>
          <a:prstGeom prst="rect">
            <a:avLst/>
          </a:prstGeom>
        </xdr:spPr>
      </xdr:pic>
      <xdr:pic>
        <xdr:nvPicPr>
          <xdr:cNvPr id="20" name="Picture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2"/>
          <a:stretch>
            <a:fillRect/>
          </a:stretch>
        </xdr:blipFill>
        <xdr:spPr>
          <a:xfrm>
            <a:off x="2295525" y="1733550"/>
            <a:ext cx="7391400" cy="1171575"/>
          </a:xfrm>
          <a:prstGeom prst="rect">
            <a:avLst/>
          </a:prstGeom>
        </xdr:spPr>
      </xdr:pic>
      <xdr:pic>
        <xdr:nvPicPr>
          <xdr:cNvPr id="21" name="Picture 20">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3"/>
          <a:stretch>
            <a:fillRect/>
          </a:stretch>
        </xdr:blipFill>
        <xdr:spPr>
          <a:xfrm>
            <a:off x="2447925" y="2905125"/>
            <a:ext cx="7239000" cy="1504950"/>
          </a:xfrm>
          <a:prstGeom prst="rect">
            <a:avLst/>
          </a:prstGeom>
        </xdr:spPr>
      </xdr:pic>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4"/>
          <a:stretch>
            <a:fillRect/>
          </a:stretch>
        </xdr:blipFill>
        <xdr:spPr>
          <a:xfrm>
            <a:off x="2505075" y="4394200"/>
            <a:ext cx="8343900" cy="1114425"/>
          </a:xfrm>
          <a:prstGeom prst="rect">
            <a:avLst/>
          </a:prstGeom>
        </xdr:spPr>
      </xdr:pic>
      <xdr:pic>
        <xdr:nvPicPr>
          <xdr:cNvPr id="23" name="Picture 22">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5"/>
          <a:stretch>
            <a:fillRect/>
          </a:stretch>
        </xdr:blipFill>
        <xdr:spPr>
          <a:xfrm>
            <a:off x="2638425" y="5467350"/>
            <a:ext cx="6705600" cy="485775"/>
          </a:xfrm>
          <a:prstGeom prst="rect">
            <a:avLst/>
          </a:prstGeom>
        </xdr:spPr>
      </xdr:pic>
      <xdr:pic>
        <xdr:nvPicPr>
          <xdr:cNvPr id="24" name="Picture 23">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6"/>
          <a:stretch>
            <a:fillRect/>
          </a:stretch>
        </xdr:blipFill>
        <xdr:spPr>
          <a:xfrm>
            <a:off x="2505075" y="3887788"/>
            <a:ext cx="7143750" cy="274637"/>
          </a:xfrm>
          <a:prstGeom prst="rect">
            <a:avLst/>
          </a:prstGeom>
        </xdr:spPr>
      </xdr:pic>
    </xdr:grpSp>
    <xdr:clientData/>
  </xdr:twoCellAnchor>
  <xdr:twoCellAnchor editAs="oneCell">
    <xdr:from>
      <xdr:col>0</xdr:col>
      <xdr:colOff>0</xdr:colOff>
      <xdr:row>0</xdr:row>
      <xdr:rowOff>0</xdr:rowOff>
    </xdr:from>
    <xdr:to>
      <xdr:col>4</xdr:col>
      <xdr:colOff>1611</xdr:colOff>
      <xdr:row>0</xdr:row>
      <xdr:rowOff>713384</xdr:rowOff>
    </xdr:to>
    <xdr:pic>
      <xdr:nvPicPr>
        <xdr:cNvPr id="25" name="Picture 24" descr="image of the Ofgem logo" title="Ofgem logo">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descr="MSC wholesale cost value vs. forward prices">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4224990" y="0"/>
    <xdr:ext cx="9380340" cy="6096000"/>
    <xdr:graphicFrame macro="">
      <xdr:nvGraphicFramePr>
        <xdr:cNvPr id="2" name="Chart 1" descr="Wholesale Cost, Trigger Point &amp; Market Stabilisation Charge&#10;">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0</xdr:rowOff>
    </xdr:from>
    <xdr:to>
      <xdr:col>0</xdr:col>
      <xdr:colOff>3145655</xdr:colOff>
      <xdr:row>0</xdr:row>
      <xdr:rowOff>703859</xdr:rowOff>
    </xdr:to>
    <xdr:pic>
      <xdr:nvPicPr>
        <xdr:cNvPr id="3" name="Picture 2" descr="image of the Ofgem logo" title="Ofgem logo">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45655" cy="7133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eter" id="{8D76495A-33FE-4FB2-9BFA-E5D9F296AAD5}" userId="S::Peter.Hicks@ofgem.gov.uk::50b43d9c-ff6a-43a1-ae6f-3fac21188c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N13" dT="2022-02-08T10:23:00.27" personId="{8D76495A-33FE-4FB2-9BFA-E5D9F296AAD5}" id="{86C25EA2-714F-484E-A70B-2CB77284E162}">
    <text>There 131 Week Days in Summer 22. To calculate Trading Days we should deduct bank holidays.
England Bank Holidays:
15/4/22, 18/4/22, 2/5/22, 2/6/22, 3/6/22, 29/8/22</text>
  </threadedComment>
</ThreadedComments>
</file>

<file path=xl/threadedComments/threadedComment2.xml><?xml version="1.0" encoding="utf-8"?>
<ThreadedComments xmlns="http://schemas.microsoft.com/office/spreadsheetml/2018/threadedcomments" xmlns:x="http://schemas.openxmlformats.org/spreadsheetml/2006/main">
  <threadedComment ref="AN13" dT="2022-02-08T10:23:00.27" personId="{8D76495A-33FE-4FB2-9BFA-E5D9F296AAD5}" id="{9FC8339D-6008-4BE1-8F36-99C3F78CDD78}">
    <text>There 131 Week Days in Summer 22. To calculate Trading Days we should deduct bank holidays.
England Bank Holidays:
15/4/22, 18/4/22, 2/5/22, 2/6/22, 3/6/22, 29/8/22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A1A8-735B-4092-AD0E-500378AF29B6}">
  <sheetPr>
    <pageSetUpPr autoPageBreaks="0"/>
  </sheetPr>
  <dimension ref="A1:A3"/>
  <sheetViews>
    <sheetView tabSelected="1" topLeftCell="A2" workbookViewId="0"/>
  </sheetViews>
  <sheetFormatPr defaultColWidth="0" defaultRowHeight="14.5" zeroHeight="1" x14ac:dyDescent="0.35"/>
  <cols>
    <col min="1" max="1" width="165.36328125" customWidth="1"/>
    <col min="2" max="16384" width="8.6328125" hidden="1"/>
  </cols>
  <sheetData>
    <row r="1" spans="1:1" ht="62.15" customHeight="1" x14ac:dyDescent="0.35"/>
    <row r="2" spans="1:1" ht="247" customHeight="1" x14ac:dyDescent="0.35">
      <c r="A2" s="44" t="s">
        <v>0</v>
      </c>
    </row>
    <row r="3" spans="1:1" hidden="1" x14ac:dyDescent="0.35">
      <c r="A3" s="25"/>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2781-C707-4FF2-9B70-1FB4520D4C6C}">
  <sheetPr>
    <pageSetUpPr autoPageBreaks="0"/>
  </sheetPr>
  <dimension ref="A1:AY147"/>
  <sheetViews>
    <sheetView zoomScale="80" zoomScaleNormal="80" workbookViewId="0">
      <selection activeCell="Z20" sqref="Z20"/>
    </sheetView>
  </sheetViews>
  <sheetFormatPr defaultRowHeight="14.5" customHeight="1" zeroHeight="1" x14ac:dyDescent="0.35"/>
  <cols>
    <col min="1" max="1" width="3.08984375" customWidth="1"/>
    <col min="2" max="2" width="6" bestFit="1" customWidth="1"/>
    <col min="3" max="3" width="14.6328125" customWidth="1"/>
    <col min="4" max="4" width="14.36328125" customWidth="1"/>
    <col min="5" max="5" width="8.36328125" customWidth="1"/>
    <col min="6" max="6" width="7.6328125" customWidth="1"/>
    <col min="7" max="7" width="7.81640625" customWidth="1"/>
    <col min="8" max="13" width="7.6328125" customWidth="1"/>
    <col min="14" max="15" width="7.81640625" customWidth="1"/>
    <col min="16" max="16" width="7.6328125" customWidth="1"/>
    <col min="17" max="17" width="19.6328125" customWidth="1"/>
    <col min="18" max="18" width="7.81640625" customWidth="1"/>
    <col min="19" max="19" width="9.08984375" customWidth="1"/>
    <col min="20" max="20" width="7.6328125" customWidth="1"/>
    <col min="21" max="21" width="9.08984375" customWidth="1"/>
    <col min="22" max="22" width="9.36328125" customWidth="1"/>
    <col min="23" max="23" width="12.36328125" customWidth="1"/>
    <col min="24" max="24" width="10.36328125" customWidth="1"/>
    <col min="25" max="25" width="10.6328125" bestFit="1" customWidth="1"/>
    <col min="26" max="26" width="11.81640625" customWidth="1"/>
    <col min="27" max="27" width="19.36328125" bestFit="1" customWidth="1"/>
    <col min="28" max="28" width="18.08984375" bestFit="1" customWidth="1"/>
    <col min="29" max="29" width="13.81640625" bestFit="1" customWidth="1"/>
    <col min="30" max="30" width="11.36328125" bestFit="1" customWidth="1"/>
    <col min="31" max="31" width="11.6328125" bestFit="1" customWidth="1"/>
    <col min="32" max="32" width="11" customWidth="1"/>
    <col min="33" max="33" width="12.08984375" customWidth="1"/>
    <col min="34" max="35" width="14.81640625" bestFit="1" customWidth="1"/>
    <col min="36" max="36" width="11" bestFit="1" customWidth="1"/>
    <col min="37" max="37" width="11.6328125" customWidth="1"/>
    <col min="38" max="38" width="8.08984375" bestFit="1" customWidth="1"/>
    <col min="39" max="39" width="9.36328125" bestFit="1" customWidth="1"/>
    <col min="40" max="40" width="10" bestFit="1" customWidth="1"/>
    <col min="41" max="45" width="15.6328125" customWidth="1"/>
  </cols>
  <sheetData>
    <row r="1" spans="1:51" s="26" customFormat="1" ht="57.65" customHeight="1" x14ac:dyDescent="0.35"/>
    <row r="2" spans="1:51" x14ac:dyDescent="0.35">
      <c r="A2" s="28" t="s">
        <v>144</v>
      </c>
      <c r="B2" s="2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51" x14ac:dyDescent="0.3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51" x14ac:dyDescent="0.3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X4" s="10"/>
      <c r="AY4" s="13"/>
    </row>
    <row r="5" spans="1:51" ht="26.5" x14ac:dyDescent="0.35">
      <c r="A5" s="26"/>
      <c r="B5" s="26"/>
      <c r="C5" s="28" t="s">
        <v>36</v>
      </c>
      <c r="D5" s="28" t="s">
        <v>37</v>
      </c>
      <c r="E5" s="28" t="s">
        <v>38</v>
      </c>
      <c r="F5" s="26"/>
      <c r="G5" s="26"/>
      <c r="H5" s="26"/>
      <c r="I5" s="26"/>
      <c r="J5" s="26"/>
      <c r="K5" s="26"/>
      <c r="L5" s="26"/>
      <c r="M5" s="26"/>
      <c r="N5" s="26"/>
      <c r="O5" s="26"/>
      <c r="P5" s="26"/>
      <c r="Q5" s="26"/>
      <c r="R5" s="26"/>
      <c r="S5" s="26"/>
      <c r="T5" s="26"/>
      <c r="U5" s="26"/>
      <c r="V5" s="26"/>
      <c r="W5" s="26"/>
      <c r="X5" s="26"/>
      <c r="Y5" s="26"/>
      <c r="Z5" s="26"/>
      <c r="AA5" s="35" t="s">
        <v>79</v>
      </c>
      <c r="AB5" s="35" t="s">
        <v>80</v>
      </c>
      <c r="AC5" s="35" t="s">
        <v>81</v>
      </c>
      <c r="AD5" s="35" t="s">
        <v>82</v>
      </c>
      <c r="AE5" s="35" t="s">
        <v>83</v>
      </c>
      <c r="AF5" s="35" t="s">
        <v>84</v>
      </c>
      <c r="AG5" s="35" t="s">
        <v>85</v>
      </c>
      <c r="AH5" s="35" t="s">
        <v>86</v>
      </c>
      <c r="AI5" s="35" t="s">
        <v>87</v>
      </c>
      <c r="AJ5" s="35" t="s">
        <v>88</v>
      </c>
      <c r="AK5" s="35" t="s">
        <v>88</v>
      </c>
      <c r="AL5" s="35" t="s">
        <v>89</v>
      </c>
      <c r="AM5" s="35" t="s">
        <v>145</v>
      </c>
      <c r="AN5" s="35" t="s">
        <v>146</v>
      </c>
    </row>
    <row r="6" spans="1:51" ht="16.5" x14ac:dyDescent="0.45">
      <c r="A6" s="26"/>
      <c r="B6" s="26"/>
      <c r="C6" s="26" t="s">
        <v>100</v>
      </c>
      <c r="D6" s="33">
        <f>IF('Elec Calculations'!C6='Elec Calculations'!C32,D16,D17)</f>
        <v>0.24292945617678946</v>
      </c>
      <c r="E6" s="27" t="s">
        <v>48</v>
      </c>
      <c r="F6" s="78" t="s">
        <v>101</v>
      </c>
      <c r="G6" s="26"/>
      <c r="H6" s="26"/>
      <c r="I6" s="26"/>
      <c r="J6" s="26"/>
      <c r="K6" s="26"/>
      <c r="L6" s="26"/>
      <c r="M6" s="26"/>
      <c r="N6" s="26"/>
      <c r="O6" s="26"/>
      <c r="P6" s="26"/>
      <c r="Q6" s="26"/>
      <c r="R6" s="26"/>
      <c r="S6" s="26"/>
      <c r="T6" s="26"/>
      <c r="U6" s="26"/>
      <c r="V6" s="26"/>
      <c r="W6" s="26"/>
      <c r="X6" s="26"/>
      <c r="Y6" s="1" t="s">
        <v>92</v>
      </c>
      <c r="Z6" s="1" t="s">
        <v>93</v>
      </c>
      <c r="AA6" s="2">
        <v>43132</v>
      </c>
      <c r="AB6" s="2">
        <v>43312</v>
      </c>
      <c r="AC6" s="6">
        <f t="shared" ref="AC6:AC15" si="0">AB6-AA6</f>
        <v>180</v>
      </c>
      <c r="AD6" s="2">
        <f t="shared" ref="AD6:AD15" si="1">AB6+1</f>
        <v>43313</v>
      </c>
      <c r="AE6" s="2">
        <f t="shared" ref="AE6:AE15" si="2">AF6-1</f>
        <v>43373</v>
      </c>
      <c r="AF6" s="2">
        <v>43374</v>
      </c>
      <c r="AG6" s="2">
        <v>43555</v>
      </c>
      <c r="AH6" s="2">
        <f t="shared" ref="AH6:AH15" si="3">AF6</f>
        <v>43374</v>
      </c>
      <c r="AI6" s="2">
        <f t="shared" ref="AI6:AI14" si="4">AG7</f>
        <v>43738</v>
      </c>
      <c r="AJ6" s="2">
        <f t="shared" ref="AJ6:AJ15" si="5">AF6</f>
        <v>43374</v>
      </c>
      <c r="AK6" s="2">
        <v>43555</v>
      </c>
      <c r="AL6" s="6">
        <f t="shared" ref="AL6:AL15" si="6">AK6-AJ6</f>
        <v>181</v>
      </c>
      <c r="AM6" s="6"/>
      <c r="AN6" s="6"/>
      <c r="AW6" s="5"/>
    </row>
    <row r="7" spans="1:51" ht="16.5" x14ac:dyDescent="0.45">
      <c r="A7" s="26"/>
      <c r="B7" s="26"/>
      <c r="C7" s="26" t="s">
        <v>104</v>
      </c>
      <c r="D7" s="33">
        <f>IF('Elec Calculations'!C6='Elec Calculations'!C32,E16,E17)</f>
        <v>0.75707054382320926</v>
      </c>
      <c r="E7" s="27" t="s">
        <v>48</v>
      </c>
      <c r="F7" s="78" t="s">
        <v>105</v>
      </c>
      <c r="G7" s="26"/>
      <c r="H7" s="26"/>
      <c r="I7" s="26"/>
      <c r="J7" s="26"/>
      <c r="K7" s="26"/>
      <c r="L7" s="26"/>
      <c r="M7" s="26"/>
      <c r="N7" s="26"/>
      <c r="O7" s="26"/>
      <c r="P7" s="26"/>
      <c r="Q7" s="26"/>
      <c r="R7" s="26"/>
      <c r="S7" s="26"/>
      <c r="T7" s="26"/>
      <c r="U7" s="26"/>
      <c r="V7" s="26"/>
      <c r="W7" s="26"/>
      <c r="X7" s="26"/>
      <c r="Y7" s="3" t="s">
        <v>95</v>
      </c>
      <c r="Z7" s="3" t="s">
        <v>96</v>
      </c>
      <c r="AA7" s="4">
        <f t="shared" ref="AA7:AA15" si="7">AB6+1</f>
        <v>43313</v>
      </c>
      <c r="AB7" s="4">
        <v>43496</v>
      </c>
      <c r="AC7" s="7">
        <f t="shared" si="0"/>
        <v>183</v>
      </c>
      <c r="AD7" s="4">
        <f t="shared" si="1"/>
        <v>43497</v>
      </c>
      <c r="AE7" s="4">
        <f t="shared" si="2"/>
        <v>43555</v>
      </c>
      <c r="AF7" s="4">
        <f t="shared" ref="AF7:AF15" si="8">AG6+1</f>
        <v>43556</v>
      </c>
      <c r="AG7" s="4">
        <v>43738</v>
      </c>
      <c r="AH7" s="4">
        <f t="shared" si="3"/>
        <v>43556</v>
      </c>
      <c r="AI7" s="4">
        <f t="shared" si="4"/>
        <v>43921</v>
      </c>
      <c r="AJ7" s="4">
        <f t="shared" si="5"/>
        <v>43556</v>
      </c>
      <c r="AK7" s="4">
        <v>43738</v>
      </c>
      <c r="AL7" s="7">
        <f t="shared" si="6"/>
        <v>182</v>
      </c>
      <c r="AM7" s="7"/>
      <c r="AN7" s="7"/>
      <c r="AW7" s="5"/>
    </row>
    <row r="8" spans="1:51" x14ac:dyDescent="0.35">
      <c r="A8" s="26"/>
      <c r="B8" s="26"/>
      <c r="C8" s="26" t="s">
        <v>14</v>
      </c>
      <c r="D8" s="8">
        <f>'Gas Calculations'!C4</f>
        <v>44762</v>
      </c>
      <c r="E8" s="27"/>
      <c r="F8" s="26"/>
      <c r="G8" s="26"/>
      <c r="H8" s="26"/>
      <c r="I8" s="26"/>
      <c r="J8" s="26"/>
      <c r="K8" s="26"/>
      <c r="L8" s="26"/>
      <c r="M8" s="26"/>
      <c r="N8" s="26"/>
      <c r="O8" s="26"/>
      <c r="P8" s="26"/>
      <c r="Q8" s="26"/>
      <c r="R8" s="26"/>
      <c r="S8" s="26"/>
      <c r="T8" s="26"/>
      <c r="U8" s="26"/>
      <c r="V8" s="26"/>
      <c r="W8" s="26"/>
      <c r="X8" s="26"/>
      <c r="Y8" s="1" t="s">
        <v>98</v>
      </c>
      <c r="Z8" s="1" t="s">
        <v>99</v>
      </c>
      <c r="AA8" s="2">
        <f t="shared" si="7"/>
        <v>43497</v>
      </c>
      <c r="AB8" s="2">
        <v>43677</v>
      </c>
      <c r="AC8" s="6">
        <f t="shared" si="0"/>
        <v>180</v>
      </c>
      <c r="AD8" s="2">
        <f t="shared" si="1"/>
        <v>43678</v>
      </c>
      <c r="AE8" s="2">
        <f t="shared" si="2"/>
        <v>43738</v>
      </c>
      <c r="AF8" s="2">
        <f t="shared" si="8"/>
        <v>43739</v>
      </c>
      <c r="AG8" s="2">
        <v>43921</v>
      </c>
      <c r="AH8" s="2">
        <f t="shared" si="3"/>
        <v>43739</v>
      </c>
      <c r="AI8" s="2">
        <f t="shared" si="4"/>
        <v>44104</v>
      </c>
      <c r="AJ8" s="2">
        <f t="shared" si="5"/>
        <v>43739</v>
      </c>
      <c r="AK8" s="2">
        <v>43921</v>
      </c>
      <c r="AL8" s="6">
        <f t="shared" si="6"/>
        <v>182</v>
      </c>
      <c r="AM8" s="6"/>
      <c r="AN8" s="6"/>
      <c r="AW8" s="5"/>
    </row>
    <row r="9" spans="1:51" x14ac:dyDescent="0.35">
      <c r="A9" s="26"/>
      <c r="B9" s="26"/>
      <c r="C9" s="26" t="s">
        <v>31</v>
      </c>
      <c r="D9" s="16" t="str">
        <f>IF(SUMIF('Gas Wc'!$D$23:$D$147,D8,'Gas Wc'!$A$23:$A$147)=1,"Yes","No")</f>
        <v>Yes</v>
      </c>
      <c r="E9" s="27"/>
      <c r="F9" s="26"/>
      <c r="G9" s="26"/>
      <c r="H9" s="26"/>
      <c r="I9" s="26"/>
      <c r="J9" s="26"/>
      <c r="K9" s="26"/>
      <c r="L9" s="26"/>
      <c r="M9" s="26"/>
      <c r="N9" s="26"/>
      <c r="O9" s="26"/>
      <c r="P9" s="26"/>
      <c r="Q9" s="26"/>
      <c r="R9" s="26"/>
      <c r="S9" s="26"/>
      <c r="T9" s="26"/>
      <c r="U9" s="26"/>
      <c r="V9" s="26"/>
      <c r="W9" s="26"/>
      <c r="X9" s="26"/>
      <c r="Y9" s="3" t="s">
        <v>102</v>
      </c>
      <c r="Z9" s="3" t="s">
        <v>103</v>
      </c>
      <c r="AA9" s="4">
        <f t="shared" si="7"/>
        <v>43678</v>
      </c>
      <c r="AB9" s="4">
        <v>43861</v>
      </c>
      <c r="AC9" s="7">
        <f t="shared" si="0"/>
        <v>183</v>
      </c>
      <c r="AD9" s="4">
        <f t="shared" si="1"/>
        <v>43862</v>
      </c>
      <c r="AE9" s="4">
        <f t="shared" si="2"/>
        <v>43921</v>
      </c>
      <c r="AF9" s="4">
        <f t="shared" si="8"/>
        <v>43922</v>
      </c>
      <c r="AG9" s="4">
        <v>44104</v>
      </c>
      <c r="AH9" s="4">
        <f t="shared" si="3"/>
        <v>43922</v>
      </c>
      <c r="AI9" s="4">
        <f t="shared" si="4"/>
        <v>44286</v>
      </c>
      <c r="AJ9" s="4">
        <f t="shared" si="5"/>
        <v>43922</v>
      </c>
      <c r="AK9" s="4">
        <v>44104</v>
      </c>
      <c r="AL9" s="7">
        <f t="shared" si="6"/>
        <v>182</v>
      </c>
      <c r="AM9" s="7"/>
      <c r="AN9" s="7"/>
      <c r="AW9" s="5"/>
    </row>
    <row r="10" spans="1:51" x14ac:dyDescent="0.35">
      <c r="A10" s="26"/>
      <c r="B10" s="26"/>
      <c r="C10" s="26" t="s">
        <v>132</v>
      </c>
      <c r="D10" s="29">
        <f>SUMIF($D$23:$D$147,$D$8,K$23:K$147)</f>
        <v>0.30952380952380953</v>
      </c>
      <c r="E10" s="26"/>
      <c r="F10" s="26"/>
      <c r="G10" s="26"/>
      <c r="H10" s="26"/>
      <c r="I10" s="26"/>
      <c r="J10" s="26"/>
      <c r="K10" s="26"/>
      <c r="L10" s="26"/>
      <c r="M10" s="26"/>
      <c r="N10" s="26"/>
      <c r="O10" s="26"/>
      <c r="P10" s="26"/>
      <c r="Q10" s="26"/>
      <c r="R10" s="26"/>
      <c r="S10" s="26"/>
      <c r="T10" s="26"/>
      <c r="U10" s="26"/>
      <c r="V10" s="26"/>
      <c r="W10" s="26"/>
      <c r="X10" s="26"/>
      <c r="Y10" s="1" t="s">
        <v>106</v>
      </c>
      <c r="Z10" s="1" t="s">
        <v>107</v>
      </c>
      <c r="AA10" s="2">
        <f t="shared" si="7"/>
        <v>43862</v>
      </c>
      <c r="AB10" s="2">
        <v>44043</v>
      </c>
      <c r="AC10" s="6">
        <f t="shared" si="0"/>
        <v>181</v>
      </c>
      <c r="AD10" s="2">
        <f t="shared" si="1"/>
        <v>44044</v>
      </c>
      <c r="AE10" s="2">
        <f t="shared" si="2"/>
        <v>44104</v>
      </c>
      <c r="AF10" s="2">
        <f t="shared" si="8"/>
        <v>44105</v>
      </c>
      <c r="AG10" s="2">
        <v>44286</v>
      </c>
      <c r="AH10" s="2">
        <f t="shared" si="3"/>
        <v>44105</v>
      </c>
      <c r="AI10" s="2">
        <f t="shared" si="4"/>
        <v>44469</v>
      </c>
      <c r="AJ10" s="2">
        <f t="shared" si="5"/>
        <v>44105</v>
      </c>
      <c r="AK10" s="2">
        <v>44286</v>
      </c>
      <c r="AL10" s="6">
        <f t="shared" si="6"/>
        <v>181</v>
      </c>
      <c r="AM10" s="6"/>
      <c r="AN10" s="6"/>
      <c r="AW10" s="5"/>
    </row>
    <row r="11" spans="1:51" x14ac:dyDescent="0.35">
      <c r="A11" s="26"/>
      <c r="B11" s="26"/>
      <c r="C11" s="37" t="s">
        <v>134</v>
      </c>
      <c r="D11" s="29">
        <f>SUMIF($D$23:$D$147,$D$8,M$23:M$147)</f>
        <v>0.56547619047619047</v>
      </c>
      <c r="E11" s="26"/>
      <c r="F11" s="26"/>
      <c r="G11" s="26"/>
      <c r="H11" s="26"/>
      <c r="I11" s="26"/>
      <c r="J11" s="26"/>
      <c r="K11" s="26"/>
      <c r="L11" s="26"/>
      <c r="M11" s="26"/>
      <c r="N11" s="26"/>
      <c r="O11" s="26"/>
      <c r="P11" s="26"/>
      <c r="Q11" s="26"/>
      <c r="R11" s="26"/>
      <c r="S11" s="26"/>
      <c r="T11" s="26"/>
      <c r="U11" s="26"/>
      <c r="V11" s="26"/>
      <c r="W11" s="26"/>
      <c r="X11" s="26"/>
      <c r="Y11" s="3" t="s">
        <v>110</v>
      </c>
      <c r="Z11" s="3" t="s">
        <v>111</v>
      </c>
      <c r="AA11" s="4">
        <f t="shared" si="7"/>
        <v>44044</v>
      </c>
      <c r="AB11" s="4">
        <v>44227</v>
      </c>
      <c r="AC11" s="7">
        <f t="shared" si="0"/>
        <v>183</v>
      </c>
      <c r="AD11" s="4">
        <f t="shared" si="1"/>
        <v>44228</v>
      </c>
      <c r="AE11" s="4">
        <f t="shared" si="2"/>
        <v>44286</v>
      </c>
      <c r="AF11" s="4">
        <f t="shared" si="8"/>
        <v>44287</v>
      </c>
      <c r="AG11" s="4">
        <v>44469</v>
      </c>
      <c r="AH11" s="4">
        <f t="shared" si="3"/>
        <v>44287</v>
      </c>
      <c r="AI11" s="4">
        <f t="shared" si="4"/>
        <v>44651</v>
      </c>
      <c r="AJ11" s="4">
        <f t="shared" si="5"/>
        <v>44287</v>
      </c>
      <c r="AK11" s="4">
        <v>44469</v>
      </c>
      <c r="AL11" s="7">
        <f t="shared" si="6"/>
        <v>182</v>
      </c>
      <c r="AM11" s="7"/>
      <c r="AN11" s="7"/>
      <c r="AW11" s="5"/>
    </row>
    <row r="12" spans="1:51" x14ac:dyDescent="0.35">
      <c r="A12" s="26"/>
      <c r="B12" s="26"/>
      <c r="C12" s="26" t="s">
        <v>20</v>
      </c>
      <c r="D12" s="29">
        <f>SUMIF($D$23:$D$147,$D$8,O$23:O$147)</f>
        <v>0</v>
      </c>
      <c r="E12" s="26"/>
      <c r="F12" s="26"/>
      <c r="G12" s="26"/>
      <c r="H12" s="26"/>
      <c r="I12" s="26"/>
      <c r="J12" s="26"/>
      <c r="K12" s="26"/>
      <c r="L12" s="26"/>
      <c r="M12" s="26"/>
      <c r="N12" s="26"/>
      <c r="O12" s="26"/>
      <c r="P12" s="26"/>
      <c r="Q12" s="26"/>
      <c r="R12" s="26"/>
      <c r="S12" s="26"/>
      <c r="T12" s="26"/>
      <c r="U12" s="26"/>
      <c r="V12" s="26"/>
      <c r="W12" s="26"/>
      <c r="X12" s="26"/>
      <c r="Y12" s="1" t="s">
        <v>114</v>
      </c>
      <c r="Z12" s="1" t="s">
        <v>115</v>
      </c>
      <c r="AA12" s="2">
        <f t="shared" si="7"/>
        <v>44228</v>
      </c>
      <c r="AB12" s="2">
        <v>44408</v>
      </c>
      <c r="AC12" s="6">
        <f t="shared" si="0"/>
        <v>180</v>
      </c>
      <c r="AD12" s="2">
        <f t="shared" si="1"/>
        <v>44409</v>
      </c>
      <c r="AE12" s="2">
        <f t="shared" si="2"/>
        <v>44469</v>
      </c>
      <c r="AF12" s="2">
        <f t="shared" si="8"/>
        <v>44470</v>
      </c>
      <c r="AG12" s="2">
        <v>44651</v>
      </c>
      <c r="AH12" s="2">
        <f t="shared" si="3"/>
        <v>44470</v>
      </c>
      <c r="AI12" s="2">
        <f t="shared" si="4"/>
        <v>44834</v>
      </c>
      <c r="AJ12" s="2">
        <f t="shared" si="5"/>
        <v>44470</v>
      </c>
      <c r="AK12" s="2">
        <v>44651</v>
      </c>
      <c r="AL12" s="6">
        <f t="shared" si="6"/>
        <v>181</v>
      </c>
      <c r="AM12" s="6"/>
      <c r="AN12" s="6"/>
      <c r="AW12" s="5"/>
    </row>
    <row r="13" spans="1:51" x14ac:dyDescent="0.35">
      <c r="A13" s="26"/>
      <c r="B13" s="26"/>
      <c r="C13" s="38" t="s">
        <v>150</v>
      </c>
      <c r="D13" s="19">
        <f>SUMIF($D$23:$D$147,$D$8,W$23:W$147)</f>
        <v>54.034606154244884</v>
      </c>
      <c r="E13" s="27" t="str">
        <f>IF('Gas Calculations'!$C$6='Gas Calculations'!$C$32,"p/therm","£/MWh")</f>
        <v>p/therm</v>
      </c>
      <c r="F13" s="78" t="s">
        <v>151</v>
      </c>
      <c r="G13" s="26"/>
      <c r="H13" s="26"/>
      <c r="I13" s="26"/>
      <c r="J13" s="26"/>
      <c r="K13" s="26"/>
      <c r="L13" s="26"/>
      <c r="M13" s="26"/>
      <c r="N13" s="26"/>
      <c r="O13" s="26"/>
      <c r="P13" s="26"/>
      <c r="Q13" s="26"/>
      <c r="R13" s="26"/>
      <c r="S13" s="26"/>
      <c r="T13" s="26"/>
      <c r="U13" s="26"/>
      <c r="V13" s="26"/>
      <c r="W13" s="26"/>
      <c r="X13" s="26"/>
      <c r="Y13" s="3" t="s">
        <v>116</v>
      </c>
      <c r="Z13" s="3" t="s">
        <v>117</v>
      </c>
      <c r="AA13" s="4">
        <f t="shared" si="7"/>
        <v>44409</v>
      </c>
      <c r="AB13" s="4">
        <v>44592</v>
      </c>
      <c r="AC13" s="7">
        <f t="shared" si="0"/>
        <v>183</v>
      </c>
      <c r="AD13" s="4">
        <f t="shared" si="1"/>
        <v>44593</v>
      </c>
      <c r="AE13" s="4">
        <f t="shared" si="2"/>
        <v>44651</v>
      </c>
      <c r="AF13" s="4">
        <f t="shared" si="8"/>
        <v>44652</v>
      </c>
      <c r="AG13" s="4">
        <v>44834</v>
      </c>
      <c r="AH13" s="4">
        <f t="shared" si="3"/>
        <v>44652</v>
      </c>
      <c r="AI13" s="4">
        <f t="shared" si="4"/>
        <v>45016</v>
      </c>
      <c r="AJ13" s="4">
        <f t="shared" si="5"/>
        <v>44652</v>
      </c>
      <c r="AK13" s="4">
        <v>44834</v>
      </c>
      <c r="AL13" s="7">
        <f t="shared" si="6"/>
        <v>182</v>
      </c>
      <c r="AM13" s="7">
        <f>COUNTIF(C$23:C$147,"Mon")+COUNTIF(C$23:C$147,"Tue")+COUNTIF(C$23:C$147,"Wed")+COUNTIF(C$23:C$147,"Thu")+COUNTIF(C$23:C$147,"Fri")</f>
        <v>125</v>
      </c>
      <c r="AN13" s="7">
        <v>6</v>
      </c>
      <c r="AW13" s="5"/>
    </row>
    <row r="14" spans="1:51" x14ac:dyDescent="0.35">
      <c r="A14" s="26"/>
      <c r="B14" s="26"/>
      <c r="C14" s="26"/>
      <c r="D14" s="26"/>
      <c r="E14" s="26"/>
      <c r="F14" s="26"/>
      <c r="G14" s="26"/>
      <c r="H14" s="26"/>
      <c r="I14" s="26"/>
      <c r="J14" s="26"/>
      <c r="K14" s="26"/>
      <c r="L14" s="26"/>
      <c r="M14" s="26"/>
      <c r="N14" s="26"/>
      <c r="O14" s="26"/>
      <c r="P14" s="26"/>
      <c r="Q14" s="26"/>
      <c r="R14" s="26"/>
      <c r="S14" s="26"/>
      <c r="T14" s="26"/>
      <c r="U14" s="26"/>
      <c r="V14" s="26"/>
      <c r="W14" s="26"/>
      <c r="X14" s="26"/>
      <c r="Y14" s="1" t="s">
        <v>118</v>
      </c>
      <c r="Z14" s="1" t="s">
        <v>119</v>
      </c>
      <c r="AA14" s="2">
        <f t="shared" si="7"/>
        <v>44593</v>
      </c>
      <c r="AB14" s="2">
        <v>44773</v>
      </c>
      <c r="AC14" s="6">
        <f t="shared" si="0"/>
        <v>180</v>
      </c>
      <c r="AD14" s="2">
        <f t="shared" si="1"/>
        <v>44774</v>
      </c>
      <c r="AE14" s="2">
        <f t="shared" si="2"/>
        <v>44834</v>
      </c>
      <c r="AF14" s="2">
        <f t="shared" si="8"/>
        <v>44835</v>
      </c>
      <c r="AG14" s="2">
        <v>45016</v>
      </c>
      <c r="AH14" s="2">
        <f t="shared" si="3"/>
        <v>44835</v>
      </c>
      <c r="AI14" s="2">
        <f t="shared" si="4"/>
        <v>45199</v>
      </c>
      <c r="AJ14" s="2">
        <f t="shared" si="5"/>
        <v>44835</v>
      </c>
      <c r="AK14" s="2">
        <v>45016</v>
      </c>
      <c r="AL14" s="6">
        <f t="shared" si="6"/>
        <v>181</v>
      </c>
      <c r="AM14" s="6"/>
      <c r="AN14" s="6"/>
      <c r="AW14" s="5"/>
    </row>
    <row r="15" spans="1:51" x14ac:dyDescent="0.35">
      <c r="A15" s="26"/>
      <c r="B15" s="26"/>
      <c r="C15" s="26"/>
      <c r="D15" s="26" t="s">
        <v>101</v>
      </c>
      <c r="E15" s="26" t="s">
        <v>105</v>
      </c>
      <c r="F15" s="26"/>
      <c r="G15" s="26"/>
      <c r="H15" s="26"/>
      <c r="I15" s="26"/>
      <c r="J15" s="26"/>
      <c r="K15" s="26"/>
      <c r="L15" s="26"/>
      <c r="M15" s="26"/>
      <c r="N15" s="26"/>
      <c r="O15" s="26"/>
      <c r="P15" s="26"/>
      <c r="Q15" s="26"/>
      <c r="R15" s="26"/>
      <c r="S15" s="26"/>
      <c r="T15" s="26"/>
      <c r="U15" s="26"/>
      <c r="V15" s="26"/>
      <c r="W15" s="26"/>
      <c r="X15" s="26"/>
      <c r="Y15" s="3" t="s">
        <v>120</v>
      </c>
      <c r="Z15" s="3" t="s">
        <v>121</v>
      </c>
      <c r="AA15" s="4">
        <f t="shared" si="7"/>
        <v>44774</v>
      </c>
      <c r="AB15" s="4">
        <v>44957</v>
      </c>
      <c r="AC15" s="7">
        <f t="shared" si="0"/>
        <v>183</v>
      </c>
      <c r="AD15" s="4">
        <f t="shared" si="1"/>
        <v>44958</v>
      </c>
      <c r="AE15" s="4">
        <f t="shared" si="2"/>
        <v>45016</v>
      </c>
      <c r="AF15" s="4">
        <f t="shared" si="8"/>
        <v>45017</v>
      </c>
      <c r="AG15" s="4">
        <v>45199</v>
      </c>
      <c r="AH15" s="4">
        <f t="shared" si="3"/>
        <v>45017</v>
      </c>
      <c r="AI15" s="4">
        <v>45382</v>
      </c>
      <c r="AJ15" s="4">
        <f t="shared" si="5"/>
        <v>45017</v>
      </c>
      <c r="AK15" s="4">
        <v>45199</v>
      </c>
      <c r="AL15" s="7">
        <f t="shared" si="6"/>
        <v>182</v>
      </c>
      <c r="AM15" s="7"/>
      <c r="AN15" s="7"/>
      <c r="AW15" s="5"/>
    </row>
    <row r="16" spans="1:51" x14ac:dyDescent="0.35">
      <c r="A16" s="26"/>
      <c r="B16" s="26"/>
      <c r="C16" s="26" t="s">
        <v>122</v>
      </c>
      <c r="D16" s="31">
        <v>0.42918465416463569</v>
      </c>
      <c r="E16" s="31">
        <v>0.57081534583536431</v>
      </c>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W16" s="5"/>
    </row>
    <row r="17" spans="1:49" x14ac:dyDescent="0.35">
      <c r="A17" s="26"/>
      <c r="B17" s="26"/>
      <c r="C17" s="26" t="s">
        <v>58</v>
      </c>
      <c r="D17" s="31">
        <v>0.24292945617678946</v>
      </c>
      <c r="E17" s="31">
        <v>0.75707054382320926</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W17" s="5"/>
    </row>
    <row r="18" spans="1:49" ht="36" customHeight="1" x14ac:dyDescent="0.35">
      <c r="A18" s="26"/>
      <c r="B18" s="26"/>
      <c r="C18" s="87" t="s">
        <v>152</v>
      </c>
      <c r="D18" s="87"/>
      <c r="E18" s="26">
        <v>37</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W18" s="5"/>
    </row>
    <row r="19" spans="1:49" ht="40.5" customHeight="1" x14ac:dyDescent="0.35">
      <c r="A19" s="26"/>
      <c r="B19" s="26"/>
      <c r="C19" s="87" t="s">
        <v>153</v>
      </c>
      <c r="D19" s="87"/>
      <c r="E19" s="26">
        <v>168</v>
      </c>
      <c r="F19" s="26"/>
      <c r="G19" s="26"/>
      <c r="H19" s="26"/>
      <c r="I19" s="26"/>
      <c r="J19" s="26"/>
      <c r="K19" s="26"/>
      <c r="L19" s="26"/>
      <c r="M19" s="26"/>
      <c r="N19" s="31"/>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W19" s="5"/>
    </row>
    <row r="20" spans="1:49" ht="281.14999999999998" customHeight="1" x14ac:dyDescent="0.35">
      <c r="A20" s="26"/>
      <c r="B20" s="26"/>
      <c r="C20" s="26"/>
      <c r="D20" s="26"/>
      <c r="E20" s="26"/>
      <c r="F20" s="26"/>
      <c r="G20" s="26"/>
      <c r="H20" s="26"/>
      <c r="I20" s="26"/>
      <c r="J20" s="26"/>
      <c r="K20" s="26"/>
      <c r="L20" s="26"/>
      <c r="M20" s="26"/>
      <c r="N20" s="31"/>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W20" s="5"/>
    </row>
    <row r="21" spans="1:49" x14ac:dyDescent="0.35">
      <c r="A21" s="26"/>
      <c r="B21" s="26"/>
      <c r="C21" s="26"/>
      <c r="D21" s="26"/>
      <c r="E21" s="26"/>
      <c r="F21" s="26"/>
      <c r="G21" s="26"/>
      <c r="H21" s="26"/>
      <c r="I21" s="26"/>
      <c r="J21" s="26"/>
      <c r="K21" s="26"/>
      <c r="L21" s="26"/>
      <c r="M21" s="26"/>
      <c r="N21" s="40"/>
      <c r="O21" s="40"/>
      <c r="P21" s="40"/>
      <c r="Q21" s="40"/>
      <c r="R21" s="40"/>
      <c r="S21" s="40"/>
      <c r="T21" s="26"/>
      <c r="U21" s="26"/>
      <c r="V21" s="26"/>
      <c r="W21" s="26"/>
      <c r="X21" s="26"/>
      <c r="Y21" s="26"/>
      <c r="Z21" s="26"/>
      <c r="AA21" s="26"/>
      <c r="AB21" s="26"/>
      <c r="AC21" s="26"/>
      <c r="AD21" s="26"/>
      <c r="AE21" s="26"/>
      <c r="AF21" s="26"/>
      <c r="AG21" s="26"/>
      <c r="AH21" s="26"/>
      <c r="AI21" s="26"/>
      <c r="AJ21" s="26"/>
      <c r="AK21" s="26"/>
      <c r="AL21" s="26"/>
      <c r="AM21" s="26"/>
      <c r="AN21" s="26"/>
      <c r="AW21" s="5"/>
    </row>
    <row r="22" spans="1:49" ht="17.5" x14ac:dyDescent="0.45">
      <c r="B22" t="s">
        <v>125</v>
      </c>
      <c r="C22" s="17" t="s">
        <v>13</v>
      </c>
      <c r="D22" s="17" t="s">
        <v>14</v>
      </c>
      <c r="E22" s="17" t="s">
        <v>154</v>
      </c>
      <c r="F22" s="17" t="s">
        <v>155</v>
      </c>
      <c r="G22" s="17" t="s">
        <v>156</v>
      </c>
      <c r="H22" s="17" t="s">
        <v>157</v>
      </c>
      <c r="I22" s="17" t="s">
        <v>158</v>
      </c>
      <c r="J22" s="17" t="s">
        <v>159</v>
      </c>
      <c r="K22" s="17" t="s">
        <v>147</v>
      </c>
      <c r="L22" s="17" t="s">
        <v>160</v>
      </c>
      <c r="M22" s="17" t="s">
        <v>148</v>
      </c>
      <c r="N22" s="17" t="s">
        <v>161</v>
      </c>
      <c r="O22" s="17" t="s">
        <v>149</v>
      </c>
      <c r="P22" s="17" t="s">
        <v>162</v>
      </c>
      <c r="Q22" s="17" t="s">
        <v>163</v>
      </c>
      <c r="R22" s="17" t="s">
        <v>138</v>
      </c>
      <c r="S22" s="55" t="s">
        <v>164</v>
      </c>
      <c r="T22" s="55" t="s">
        <v>165</v>
      </c>
      <c r="U22" s="55" t="s">
        <v>166</v>
      </c>
      <c r="V22" s="17" t="s">
        <v>167</v>
      </c>
      <c r="W22" s="17" t="s">
        <v>168</v>
      </c>
      <c r="X22" s="26"/>
      <c r="Y22" s="26"/>
      <c r="Z22" s="26"/>
      <c r="AA22" s="26"/>
      <c r="AB22" s="26"/>
      <c r="AC22" s="26"/>
      <c r="AD22" s="39"/>
      <c r="AE22" s="26"/>
      <c r="AF22" s="39"/>
      <c r="AG22" s="39"/>
      <c r="AH22" s="39"/>
      <c r="AI22" s="26"/>
      <c r="AJ22" s="26"/>
      <c r="AK22" s="26"/>
      <c r="AL22" s="26"/>
      <c r="AM22" s="26"/>
      <c r="AN22" s="26"/>
      <c r="AW22" s="5"/>
    </row>
    <row r="23" spans="1:49" x14ac:dyDescent="0.35">
      <c r="A23" s="79">
        <v>1</v>
      </c>
      <c r="B23" s="79">
        <v>1</v>
      </c>
      <c r="C23" s="16" t="str">
        <f t="shared" ref="C23:C86" si="9">TEXT(D23,"ddd")</f>
        <v>Fri</v>
      </c>
      <c r="D23" s="12">
        <v>44652</v>
      </c>
      <c r="E23">
        <f>$AM$13</f>
        <v>125</v>
      </c>
      <c r="F23" s="61">
        <f>$E$19</f>
        <v>168</v>
      </c>
      <c r="G23" s="61">
        <f t="shared" ref="G23:G54" si="10">$E$18</f>
        <v>37</v>
      </c>
      <c r="H23" s="61">
        <f>B23</f>
        <v>1</v>
      </c>
      <c r="I23" s="61">
        <f>IF(D23&lt;$D$55,0,B23-32)</f>
        <v>0</v>
      </c>
      <c r="J23" s="61">
        <f>IF(D23&lt;$D$126,0,B23-103)</f>
        <v>0</v>
      </c>
      <c r="K23" s="11">
        <f>E23/F23</f>
        <v>0.74404761904761907</v>
      </c>
      <c r="L23" s="11">
        <f>K23*$D$6</f>
        <v>0.18075108346487312</v>
      </c>
      <c r="M23" s="11">
        <f>(G23+0.5*(H23-I23)+(I23-J23))/F23</f>
        <v>0.22321428571428573</v>
      </c>
      <c r="N23" s="11">
        <f>M23*$D$7</f>
        <v>0.1689889606748235</v>
      </c>
      <c r="O23" s="11">
        <f>J23/F23</f>
        <v>0</v>
      </c>
      <c r="P23" s="11">
        <f t="shared" ref="P23:P86" si="11">O23*$D$6</f>
        <v>0</v>
      </c>
      <c r="Q23" s="11">
        <f>L23+N23+P23</f>
        <v>0.34974004413969662</v>
      </c>
      <c r="R23" s="20">
        <f t="shared" ref="R23:R86" si="12">(L23/Q23)+(N23/Q23)+(P23/Q23)</f>
        <v>1</v>
      </c>
      <c r="S23" s="56">
        <v>266.69</v>
      </c>
      <c r="T23" s="56">
        <v>181.82730034015736</v>
      </c>
      <c r="U23" s="56">
        <v>147.29971015329991</v>
      </c>
      <c r="V23" s="20">
        <f t="shared" ref="V23:V32" si="13">((S23*L23)+(T23*N23)+(U23*P23))/(L23+N23+P23)</f>
        <v>225.68566076040085</v>
      </c>
      <c r="W23" s="20" t="s">
        <v>23</v>
      </c>
      <c r="X23" s="36"/>
      <c r="Y23" s="26"/>
      <c r="Z23" s="26"/>
      <c r="AA23" s="26"/>
      <c r="AB23" s="36"/>
      <c r="AC23" s="29"/>
      <c r="AD23" s="29"/>
      <c r="AE23" s="29"/>
      <c r="AF23" s="29"/>
      <c r="AG23" s="29"/>
      <c r="AH23" s="29"/>
      <c r="AI23" s="26"/>
      <c r="AJ23" s="26"/>
      <c r="AK23" s="26"/>
      <c r="AL23" s="26"/>
      <c r="AM23" s="26"/>
      <c r="AN23" s="26"/>
      <c r="AW23" s="5"/>
    </row>
    <row r="24" spans="1:49" x14ac:dyDescent="0.35">
      <c r="A24" s="79">
        <v>1</v>
      </c>
      <c r="B24" s="79">
        <v>2</v>
      </c>
      <c r="C24" s="16" t="str">
        <f t="shared" si="9"/>
        <v>Mon</v>
      </c>
      <c r="D24" s="12">
        <v>44655</v>
      </c>
      <c r="E24">
        <f>E23-1</f>
        <v>124</v>
      </c>
      <c r="F24" s="61">
        <f t="shared" ref="F24:F87" si="14">$E$19</f>
        <v>168</v>
      </c>
      <c r="G24" s="61">
        <f t="shared" si="10"/>
        <v>37</v>
      </c>
      <c r="H24" s="61">
        <f t="shared" ref="H24:H87" si="15">B24</f>
        <v>2</v>
      </c>
      <c r="I24" s="61">
        <f t="shared" ref="I24:I87" si="16">IF(D24&lt;$D$55,0,B24-32)</f>
        <v>0</v>
      </c>
      <c r="J24" s="61">
        <f t="shared" ref="J24:J87" si="17">IF(D24&lt;$D$126,0,B24-103)</f>
        <v>0</v>
      </c>
      <c r="K24" s="11">
        <f t="shared" ref="K24:K87" si="18">E24/F24</f>
        <v>0.73809523809523814</v>
      </c>
      <c r="L24" s="11">
        <f t="shared" ref="L24:L86" si="19">K24*$D$6</f>
        <v>0.17930507479715413</v>
      </c>
      <c r="M24" s="11">
        <f t="shared" ref="M24:M87" si="20">(G24+0.5*(H24-I24)+(I24-J24))/F24</f>
        <v>0.22619047619047619</v>
      </c>
      <c r="N24" s="11">
        <f t="shared" ref="N24:N86" si="21">M24*$D$7</f>
        <v>0.17124214681715447</v>
      </c>
      <c r="O24" s="11">
        <f t="shared" ref="O24:O87" si="22">J24/F24</f>
        <v>0</v>
      </c>
      <c r="P24" s="11">
        <f t="shared" si="11"/>
        <v>0</v>
      </c>
      <c r="Q24" s="11">
        <f t="shared" ref="Q24:Q87" si="23">L24+N24+P24</f>
        <v>0.35054722161430862</v>
      </c>
      <c r="R24" s="20">
        <f t="shared" si="12"/>
        <v>1</v>
      </c>
      <c r="S24" s="56">
        <v>254.67000000000002</v>
      </c>
      <c r="T24" s="56">
        <v>176.17786912557693</v>
      </c>
      <c r="U24" s="56">
        <v>150.04971015329991</v>
      </c>
      <c r="V24" s="20">
        <f t="shared" si="13"/>
        <v>216.32663234387874</v>
      </c>
      <c r="W24" s="20">
        <f>AVERAGE(V19:V23)</f>
        <v>225.68566076040085</v>
      </c>
      <c r="X24" s="36"/>
      <c r="Y24" s="26"/>
      <c r="Z24" s="26"/>
      <c r="AA24" s="26"/>
      <c r="AB24" s="36"/>
      <c r="AC24" s="29"/>
      <c r="AD24" s="29"/>
      <c r="AE24" s="29"/>
      <c r="AF24" s="29"/>
      <c r="AG24" s="29"/>
      <c r="AH24" s="29"/>
      <c r="AI24" s="26"/>
      <c r="AJ24" s="26"/>
      <c r="AK24" s="26"/>
      <c r="AL24" s="26"/>
      <c r="AM24" s="26"/>
      <c r="AN24" s="26"/>
      <c r="AW24" s="5"/>
    </row>
    <row r="25" spans="1:49" x14ac:dyDescent="0.35">
      <c r="A25" s="79">
        <v>1</v>
      </c>
      <c r="B25" s="79">
        <v>3</v>
      </c>
      <c r="C25" s="16" t="str">
        <f t="shared" si="9"/>
        <v>Tue</v>
      </c>
      <c r="D25" s="12">
        <v>44656</v>
      </c>
      <c r="E25">
        <f>E24-1</f>
        <v>123</v>
      </c>
      <c r="F25" s="61">
        <f t="shared" si="14"/>
        <v>168</v>
      </c>
      <c r="G25" s="61">
        <f t="shared" si="10"/>
        <v>37</v>
      </c>
      <c r="H25" s="61">
        <f t="shared" si="15"/>
        <v>3</v>
      </c>
      <c r="I25" s="61">
        <f t="shared" si="16"/>
        <v>0</v>
      </c>
      <c r="J25" s="61">
        <f t="shared" si="17"/>
        <v>0</v>
      </c>
      <c r="K25" s="11">
        <f t="shared" si="18"/>
        <v>0.7321428571428571</v>
      </c>
      <c r="L25" s="11">
        <f t="shared" si="19"/>
        <v>0.17785906612943514</v>
      </c>
      <c r="M25" s="11">
        <f t="shared" si="20"/>
        <v>0.22916666666666666</v>
      </c>
      <c r="N25" s="11">
        <f t="shared" si="21"/>
        <v>0.17349533295948544</v>
      </c>
      <c r="O25" s="11">
        <f t="shared" si="22"/>
        <v>0</v>
      </c>
      <c r="P25" s="11">
        <f t="shared" si="11"/>
        <v>0</v>
      </c>
      <c r="Q25" s="11">
        <f t="shared" si="23"/>
        <v>0.35135439908892058</v>
      </c>
      <c r="R25" s="20">
        <f t="shared" si="12"/>
        <v>1</v>
      </c>
      <c r="S25" s="56">
        <v>251.4</v>
      </c>
      <c r="T25" s="56">
        <v>180.2262788858697</v>
      </c>
      <c r="U25" s="56">
        <v>158.04971015329991</v>
      </c>
      <c r="V25" s="20">
        <f t="shared" si="13"/>
        <v>216.25511929071794</v>
      </c>
      <c r="W25" s="20">
        <f>W24</f>
        <v>225.68566076040085</v>
      </c>
      <c r="X25" s="36"/>
      <c r="Y25" s="26"/>
      <c r="Z25" s="26"/>
      <c r="AA25" s="26"/>
      <c r="AB25" s="36"/>
      <c r="AC25" s="29"/>
      <c r="AD25" s="29"/>
      <c r="AE25" s="29"/>
      <c r="AF25" s="29"/>
      <c r="AG25" s="29"/>
      <c r="AH25" s="29"/>
      <c r="AI25" s="26"/>
      <c r="AJ25" s="26"/>
      <c r="AK25" s="26"/>
      <c r="AL25" s="26"/>
      <c r="AM25" s="26"/>
      <c r="AN25" s="26"/>
      <c r="AW25" s="5"/>
    </row>
    <row r="26" spans="1:49" x14ac:dyDescent="0.35">
      <c r="A26" s="79">
        <v>1</v>
      </c>
      <c r="B26" s="79">
        <v>4</v>
      </c>
      <c r="C26" s="16" t="str">
        <f t="shared" si="9"/>
        <v>Wed</v>
      </c>
      <c r="D26" s="12">
        <v>44657</v>
      </c>
      <c r="E26">
        <f t="shared" ref="E26:E89" si="24">E25-1</f>
        <v>122</v>
      </c>
      <c r="F26" s="61">
        <f t="shared" si="14"/>
        <v>168</v>
      </c>
      <c r="G26" s="61">
        <f t="shared" si="10"/>
        <v>37</v>
      </c>
      <c r="H26" s="61">
        <f t="shared" si="15"/>
        <v>4</v>
      </c>
      <c r="I26" s="61">
        <f t="shared" si="16"/>
        <v>0</v>
      </c>
      <c r="J26" s="61">
        <f t="shared" si="17"/>
        <v>0</v>
      </c>
      <c r="K26" s="11">
        <f t="shared" si="18"/>
        <v>0.72619047619047616</v>
      </c>
      <c r="L26" s="11">
        <f t="shared" si="19"/>
        <v>0.17641305746171615</v>
      </c>
      <c r="M26" s="11">
        <f t="shared" si="20"/>
        <v>0.23214285714285715</v>
      </c>
      <c r="N26" s="11">
        <f t="shared" si="21"/>
        <v>0.17574851910181644</v>
      </c>
      <c r="O26" s="11">
        <f t="shared" si="22"/>
        <v>0</v>
      </c>
      <c r="P26" s="11">
        <f t="shared" si="11"/>
        <v>0</v>
      </c>
      <c r="Q26" s="11">
        <f t="shared" si="23"/>
        <v>0.35216157656353259</v>
      </c>
      <c r="R26" s="20">
        <f t="shared" si="12"/>
        <v>1</v>
      </c>
      <c r="S26" s="56">
        <v>253.32400000000001</v>
      </c>
      <c r="T26" s="56">
        <v>181.99090018878937</v>
      </c>
      <c r="U26" s="56">
        <v>165.79971015329991</v>
      </c>
      <c r="V26" s="20">
        <f t="shared" si="13"/>
        <v>217.72475383266405</v>
      </c>
      <c r="W26" s="20">
        <f>W25</f>
        <v>225.68566076040085</v>
      </c>
      <c r="X26" s="36"/>
      <c r="Y26" s="26"/>
      <c r="Z26" s="26"/>
      <c r="AA26" s="26"/>
      <c r="AB26" s="36"/>
      <c r="AC26" s="29"/>
      <c r="AD26" s="29"/>
      <c r="AE26" s="29"/>
      <c r="AF26" s="29"/>
      <c r="AG26" s="29"/>
      <c r="AH26" s="29"/>
      <c r="AI26" s="26"/>
      <c r="AJ26" s="26"/>
      <c r="AK26" s="26"/>
      <c r="AL26" s="26"/>
      <c r="AM26" s="26"/>
      <c r="AN26" s="26"/>
      <c r="AW26" s="5"/>
    </row>
    <row r="27" spans="1:49" x14ac:dyDescent="0.35">
      <c r="A27" s="79">
        <v>1</v>
      </c>
      <c r="B27" s="79">
        <v>5</v>
      </c>
      <c r="C27" s="16" t="str">
        <f t="shared" si="9"/>
        <v>Thu</v>
      </c>
      <c r="D27" s="12">
        <v>44658</v>
      </c>
      <c r="E27">
        <f t="shared" si="24"/>
        <v>121</v>
      </c>
      <c r="F27" s="61">
        <f t="shared" si="14"/>
        <v>168</v>
      </c>
      <c r="G27" s="61">
        <f t="shared" si="10"/>
        <v>37</v>
      </c>
      <c r="H27" s="61">
        <f t="shared" si="15"/>
        <v>5</v>
      </c>
      <c r="I27" s="61">
        <f t="shared" si="16"/>
        <v>0</v>
      </c>
      <c r="J27" s="61">
        <f t="shared" si="17"/>
        <v>0</v>
      </c>
      <c r="K27" s="11">
        <f t="shared" si="18"/>
        <v>0.72023809523809523</v>
      </c>
      <c r="L27" s="11">
        <f t="shared" si="19"/>
        <v>0.17496704879399716</v>
      </c>
      <c r="M27" s="11">
        <f t="shared" si="20"/>
        <v>0.23511904761904762</v>
      </c>
      <c r="N27" s="11">
        <f t="shared" si="21"/>
        <v>0.17800170524414741</v>
      </c>
      <c r="O27" s="11">
        <f t="shared" si="22"/>
        <v>0</v>
      </c>
      <c r="P27" s="11">
        <f t="shared" si="11"/>
        <v>0</v>
      </c>
      <c r="Q27" s="11">
        <f t="shared" si="23"/>
        <v>0.35296875403814454</v>
      </c>
      <c r="R27" s="20">
        <f t="shared" si="12"/>
        <v>1</v>
      </c>
      <c r="S27" s="56">
        <v>244.40199999999999</v>
      </c>
      <c r="T27" s="56">
        <v>176.6043131437136</v>
      </c>
      <c r="U27" s="56">
        <v>165.2497101532999</v>
      </c>
      <c r="V27" s="20">
        <f t="shared" si="13"/>
        <v>210.2117105368043</v>
      </c>
      <c r="W27" s="20">
        <f>W26</f>
        <v>225.68566076040085</v>
      </c>
      <c r="X27" s="36"/>
      <c r="Y27" s="26"/>
      <c r="Z27" s="26"/>
      <c r="AA27" s="26"/>
      <c r="AB27" s="36"/>
      <c r="AC27" s="29"/>
      <c r="AD27" s="29"/>
      <c r="AE27" s="29"/>
      <c r="AF27" s="29"/>
      <c r="AG27" s="29"/>
      <c r="AH27" s="29"/>
      <c r="AI27" s="26"/>
      <c r="AJ27" s="26"/>
      <c r="AK27" s="26"/>
      <c r="AL27" s="26"/>
      <c r="AM27" s="26"/>
      <c r="AN27" s="26"/>
      <c r="AW27" s="5"/>
    </row>
    <row r="28" spans="1:49" x14ac:dyDescent="0.35">
      <c r="A28" s="79">
        <v>1</v>
      </c>
      <c r="B28" s="79">
        <v>6</v>
      </c>
      <c r="C28" s="16" t="str">
        <f t="shared" si="9"/>
        <v>Fri</v>
      </c>
      <c r="D28" s="12">
        <v>44659</v>
      </c>
      <c r="E28">
        <f t="shared" si="24"/>
        <v>120</v>
      </c>
      <c r="F28" s="61">
        <f t="shared" si="14"/>
        <v>168</v>
      </c>
      <c r="G28" s="61">
        <f t="shared" si="10"/>
        <v>37</v>
      </c>
      <c r="H28" s="61">
        <f t="shared" si="15"/>
        <v>6</v>
      </c>
      <c r="I28" s="61">
        <f t="shared" si="16"/>
        <v>0</v>
      </c>
      <c r="J28" s="61">
        <f t="shared" si="17"/>
        <v>0</v>
      </c>
      <c r="K28" s="11">
        <f t="shared" si="18"/>
        <v>0.7142857142857143</v>
      </c>
      <c r="L28" s="11">
        <f t="shared" si="19"/>
        <v>0.1735210401262782</v>
      </c>
      <c r="M28" s="11">
        <f t="shared" si="20"/>
        <v>0.23809523809523808</v>
      </c>
      <c r="N28" s="11">
        <f t="shared" si="21"/>
        <v>0.18025489138647838</v>
      </c>
      <c r="O28" s="11">
        <f t="shared" si="22"/>
        <v>0</v>
      </c>
      <c r="P28" s="11">
        <f t="shared" si="11"/>
        <v>0</v>
      </c>
      <c r="Q28" s="11">
        <f t="shared" si="23"/>
        <v>0.35377593151275655</v>
      </c>
      <c r="R28" s="20">
        <f t="shared" si="12"/>
        <v>1</v>
      </c>
      <c r="S28" s="56">
        <v>236.92799999999997</v>
      </c>
      <c r="T28" s="56">
        <v>174.57163878708127</v>
      </c>
      <c r="U28" s="56">
        <v>173.1297101532999</v>
      </c>
      <c r="V28" s="20">
        <f t="shared" si="13"/>
        <v>205.15636683765359</v>
      </c>
      <c r="W28" s="20">
        <f>W27</f>
        <v>225.68566076040085</v>
      </c>
      <c r="X28" s="36"/>
      <c r="Y28" s="26"/>
      <c r="Z28" s="26"/>
      <c r="AA28" s="26"/>
      <c r="AB28" s="36"/>
      <c r="AC28" s="29"/>
      <c r="AD28" s="29"/>
      <c r="AE28" s="29"/>
      <c r="AF28" s="29"/>
      <c r="AG28" s="29"/>
      <c r="AH28" s="29"/>
      <c r="AI28" s="26"/>
      <c r="AJ28" s="26"/>
      <c r="AK28" s="26"/>
      <c r="AL28" s="26"/>
      <c r="AM28" s="26"/>
      <c r="AN28" s="26"/>
      <c r="AW28" s="5"/>
    </row>
    <row r="29" spans="1:49" x14ac:dyDescent="0.35">
      <c r="A29" s="79">
        <v>1</v>
      </c>
      <c r="B29" s="79">
        <v>7</v>
      </c>
      <c r="C29" s="16" t="str">
        <f t="shared" si="9"/>
        <v>Mon</v>
      </c>
      <c r="D29" s="12">
        <v>44662</v>
      </c>
      <c r="E29">
        <f t="shared" si="24"/>
        <v>119</v>
      </c>
      <c r="F29" s="61">
        <f t="shared" si="14"/>
        <v>168</v>
      </c>
      <c r="G29" s="61">
        <f t="shared" si="10"/>
        <v>37</v>
      </c>
      <c r="H29" s="61">
        <f t="shared" si="15"/>
        <v>7</v>
      </c>
      <c r="I29" s="61">
        <f t="shared" si="16"/>
        <v>0</v>
      </c>
      <c r="J29" s="61">
        <f t="shared" si="17"/>
        <v>0</v>
      </c>
      <c r="K29" s="11">
        <f t="shared" si="18"/>
        <v>0.70833333333333337</v>
      </c>
      <c r="L29" s="11">
        <f t="shared" si="19"/>
        <v>0.17207503145855921</v>
      </c>
      <c r="M29" s="11">
        <f t="shared" si="20"/>
        <v>0.24107142857142858</v>
      </c>
      <c r="N29" s="11">
        <f t="shared" si="21"/>
        <v>0.18250807752880938</v>
      </c>
      <c r="O29" s="11">
        <f t="shared" si="22"/>
        <v>0</v>
      </c>
      <c r="P29" s="11">
        <f t="shared" si="11"/>
        <v>0</v>
      </c>
      <c r="Q29" s="11">
        <f t="shared" si="23"/>
        <v>0.35458310898736856</v>
      </c>
      <c r="R29" s="20">
        <f t="shared" si="12"/>
        <v>1</v>
      </c>
      <c r="S29" s="56">
        <v>231.31</v>
      </c>
      <c r="T29" s="56">
        <v>170.77103597130113</v>
      </c>
      <c r="U29" s="56">
        <v>179.04971015329991</v>
      </c>
      <c r="V29" s="20">
        <f t="shared" si="13"/>
        <v>200.14988644575519</v>
      </c>
      <c r="W29" s="20">
        <f>AVERAGE(V24:V28)</f>
        <v>213.13491656834373</v>
      </c>
      <c r="X29" s="36"/>
      <c r="Y29" s="26"/>
      <c r="Z29" s="26"/>
      <c r="AA29" s="26"/>
      <c r="AB29" s="36"/>
      <c r="AC29" s="29"/>
      <c r="AD29" s="29"/>
      <c r="AE29" s="29"/>
      <c r="AF29" s="29"/>
      <c r="AG29" s="29"/>
      <c r="AH29" s="29"/>
      <c r="AI29" s="26"/>
      <c r="AJ29" s="26"/>
      <c r="AK29" s="26"/>
      <c r="AL29" s="26"/>
      <c r="AM29" s="26"/>
      <c r="AN29" s="26"/>
      <c r="AW29" s="5"/>
    </row>
    <row r="30" spans="1:49" x14ac:dyDescent="0.35">
      <c r="A30" s="79">
        <v>1</v>
      </c>
      <c r="B30" s="79">
        <v>8</v>
      </c>
      <c r="C30" s="16" t="str">
        <f t="shared" si="9"/>
        <v>Tue</v>
      </c>
      <c r="D30" s="12">
        <v>44663</v>
      </c>
      <c r="E30">
        <f t="shared" si="24"/>
        <v>118</v>
      </c>
      <c r="F30" s="61">
        <f t="shared" si="14"/>
        <v>168</v>
      </c>
      <c r="G30" s="61">
        <f t="shared" si="10"/>
        <v>37</v>
      </c>
      <c r="H30" s="61">
        <f t="shared" si="15"/>
        <v>8</v>
      </c>
      <c r="I30" s="61">
        <f t="shared" si="16"/>
        <v>0</v>
      </c>
      <c r="J30" s="61">
        <f t="shared" si="17"/>
        <v>0</v>
      </c>
      <c r="K30" s="11">
        <f t="shared" si="18"/>
        <v>0.70238095238095233</v>
      </c>
      <c r="L30" s="11">
        <f t="shared" si="19"/>
        <v>0.17062902279084019</v>
      </c>
      <c r="M30" s="11">
        <f t="shared" si="20"/>
        <v>0.24404761904761904</v>
      </c>
      <c r="N30" s="11">
        <f t="shared" si="21"/>
        <v>0.18476126367114035</v>
      </c>
      <c r="O30" s="11">
        <f t="shared" si="22"/>
        <v>0</v>
      </c>
      <c r="P30" s="11">
        <f t="shared" si="11"/>
        <v>0</v>
      </c>
      <c r="Q30" s="11">
        <f t="shared" si="23"/>
        <v>0.35539028646198056</v>
      </c>
      <c r="R30" s="20">
        <f t="shared" si="12"/>
        <v>1</v>
      </c>
      <c r="S30" s="56">
        <v>234.50499999999997</v>
      </c>
      <c r="T30" s="56">
        <v>173.87933384165146</v>
      </c>
      <c r="U30" s="56">
        <v>185.04971015329991</v>
      </c>
      <c r="V30" s="20">
        <f t="shared" si="13"/>
        <v>202.98676464856905</v>
      </c>
      <c r="W30" s="20">
        <f>W29</f>
        <v>213.13491656834373</v>
      </c>
      <c r="X30" s="36"/>
      <c r="Y30" s="26"/>
      <c r="Z30" s="26"/>
      <c r="AA30" s="26"/>
      <c r="AB30" s="36"/>
      <c r="AC30" s="29"/>
      <c r="AD30" s="29"/>
      <c r="AE30" s="29"/>
      <c r="AF30" s="29"/>
      <c r="AG30" s="29"/>
      <c r="AH30" s="29"/>
      <c r="AI30" s="26"/>
      <c r="AJ30" s="26"/>
      <c r="AK30" s="26"/>
      <c r="AL30" s="26"/>
      <c r="AM30" s="26"/>
      <c r="AN30" s="26"/>
      <c r="AW30" s="5"/>
    </row>
    <row r="31" spans="1:49" x14ac:dyDescent="0.35">
      <c r="A31" s="79">
        <v>1</v>
      </c>
      <c r="B31" s="79">
        <v>9</v>
      </c>
      <c r="C31" s="16" t="str">
        <f t="shared" si="9"/>
        <v>Wed</v>
      </c>
      <c r="D31" s="12">
        <v>44664</v>
      </c>
      <c r="E31">
        <f t="shared" si="24"/>
        <v>117</v>
      </c>
      <c r="F31" s="61">
        <f t="shared" si="14"/>
        <v>168</v>
      </c>
      <c r="G31" s="61">
        <f t="shared" si="10"/>
        <v>37</v>
      </c>
      <c r="H31" s="61">
        <f t="shared" si="15"/>
        <v>9</v>
      </c>
      <c r="I31" s="61">
        <f t="shared" si="16"/>
        <v>0</v>
      </c>
      <c r="J31" s="61">
        <f t="shared" si="17"/>
        <v>0</v>
      </c>
      <c r="K31" s="11">
        <f t="shared" si="18"/>
        <v>0.6964285714285714</v>
      </c>
      <c r="L31" s="11">
        <f t="shared" si="19"/>
        <v>0.16918301412312123</v>
      </c>
      <c r="M31" s="11">
        <f t="shared" si="20"/>
        <v>0.24702380952380953</v>
      </c>
      <c r="N31" s="11">
        <f t="shared" si="21"/>
        <v>0.18701444981347135</v>
      </c>
      <c r="O31" s="11">
        <f t="shared" si="22"/>
        <v>0</v>
      </c>
      <c r="P31" s="11">
        <f t="shared" si="11"/>
        <v>0</v>
      </c>
      <c r="Q31" s="11">
        <f t="shared" si="23"/>
        <v>0.35619746393659257</v>
      </c>
      <c r="R31" s="20">
        <f t="shared" si="12"/>
        <v>1</v>
      </c>
      <c r="S31" s="56">
        <v>234.25500000000002</v>
      </c>
      <c r="T31" s="56">
        <v>174.92107944942558</v>
      </c>
      <c r="U31" s="56">
        <v>191.29971015329991</v>
      </c>
      <c r="V31" s="20">
        <f t="shared" si="13"/>
        <v>203.1028958148417</v>
      </c>
      <c r="W31" s="20">
        <f>W30</f>
        <v>213.13491656834373</v>
      </c>
      <c r="X31" s="36"/>
      <c r="Y31" s="26"/>
      <c r="Z31" s="26"/>
      <c r="AA31" s="26"/>
      <c r="AB31" s="36"/>
      <c r="AC31" s="29"/>
      <c r="AD31" s="29"/>
      <c r="AE31" s="29"/>
      <c r="AF31" s="29"/>
      <c r="AG31" s="29"/>
      <c r="AH31" s="29"/>
      <c r="AI31" s="26"/>
      <c r="AJ31" s="26"/>
      <c r="AK31" s="26"/>
      <c r="AL31" s="26"/>
      <c r="AM31" s="26"/>
      <c r="AN31" s="26"/>
      <c r="AW31" s="5"/>
    </row>
    <row r="32" spans="1:49" x14ac:dyDescent="0.35">
      <c r="A32" s="79">
        <v>1</v>
      </c>
      <c r="B32" s="79">
        <v>10</v>
      </c>
      <c r="C32" s="16" t="str">
        <f t="shared" si="9"/>
        <v>Thu</v>
      </c>
      <c r="D32" s="12">
        <v>44665</v>
      </c>
      <c r="E32">
        <f t="shared" si="24"/>
        <v>116</v>
      </c>
      <c r="F32" s="61">
        <f t="shared" si="14"/>
        <v>168</v>
      </c>
      <c r="G32" s="61">
        <f t="shared" si="10"/>
        <v>37</v>
      </c>
      <c r="H32" s="61">
        <f t="shared" si="15"/>
        <v>10</v>
      </c>
      <c r="I32" s="61">
        <f t="shared" si="16"/>
        <v>0</v>
      </c>
      <c r="J32" s="61">
        <f t="shared" si="17"/>
        <v>0</v>
      </c>
      <c r="K32" s="11">
        <f t="shared" si="18"/>
        <v>0.69047619047619047</v>
      </c>
      <c r="L32" s="11">
        <f t="shared" si="19"/>
        <v>0.16773700545540224</v>
      </c>
      <c r="M32" s="11">
        <f t="shared" si="20"/>
        <v>0.25</v>
      </c>
      <c r="N32" s="11">
        <f t="shared" si="21"/>
        <v>0.18926763595580232</v>
      </c>
      <c r="O32" s="11">
        <f t="shared" si="22"/>
        <v>0</v>
      </c>
      <c r="P32" s="11">
        <f t="shared" si="11"/>
        <v>0</v>
      </c>
      <c r="Q32" s="11">
        <f t="shared" si="23"/>
        <v>0.35700464141120458</v>
      </c>
      <c r="R32" s="20">
        <f t="shared" si="12"/>
        <v>1</v>
      </c>
      <c r="S32" s="56">
        <v>195.47499999999999</v>
      </c>
      <c r="T32" s="56">
        <v>151.35899586546213</v>
      </c>
      <c r="U32" s="56">
        <v>180.04971015329991</v>
      </c>
      <c r="V32" s="20">
        <f t="shared" si="13"/>
        <v>172.0866995640317</v>
      </c>
      <c r="W32" s="20">
        <f>W31</f>
        <v>213.13491656834373</v>
      </c>
      <c r="X32" s="36"/>
      <c r="Y32" s="26"/>
      <c r="Z32" s="26"/>
      <c r="AA32" s="26"/>
      <c r="AB32" s="36"/>
      <c r="AC32" s="29"/>
      <c r="AD32" s="29"/>
      <c r="AE32" s="29"/>
      <c r="AF32" s="29"/>
      <c r="AG32" s="29"/>
      <c r="AH32" s="29"/>
      <c r="AI32" s="26"/>
      <c r="AJ32" s="26"/>
      <c r="AK32" s="26"/>
      <c r="AL32" s="26"/>
      <c r="AM32" s="26"/>
      <c r="AN32" s="26"/>
      <c r="AW32" s="5"/>
    </row>
    <row r="33" spans="1:49" x14ac:dyDescent="0.35">
      <c r="A33" s="79">
        <v>1</v>
      </c>
      <c r="B33" s="79">
        <v>11</v>
      </c>
      <c r="C33" s="16" t="str">
        <f t="shared" si="9"/>
        <v>Tue</v>
      </c>
      <c r="D33" s="12">
        <v>44670</v>
      </c>
      <c r="E33">
        <f t="shared" si="24"/>
        <v>115</v>
      </c>
      <c r="F33" s="61">
        <f t="shared" si="14"/>
        <v>168</v>
      </c>
      <c r="G33" s="61">
        <f t="shared" si="10"/>
        <v>37</v>
      </c>
      <c r="H33" s="61">
        <f t="shared" si="15"/>
        <v>11</v>
      </c>
      <c r="I33" s="61">
        <f t="shared" si="16"/>
        <v>0</v>
      </c>
      <c r="J33" s="61">
        <f t="shared" si="17"/>
        <v>0</v>
      </c>
      <c r="K33" s="11">
        <f t="shared" si="18"/>
        <v>0.68452380952380953</v>
      </c>
      <c r="L33" s="11">
        <f t="shared" si="19"/>
        <v>0.16629099678768328</v>
      </c>
      <c r="M33" s="11">
        <f t="shared" si="20"/>
        <v>0.25297619047619047</v>
      </c>
      <c r="N33" s="11">
        <f t="shared" si="21"/>
        <v>0.19152082209813329</v>
      </c>
      <c r="O33" s="11">
        <f t="shared" si="22"/>
        <v>0</v>
      </c>
      <c r="P33" s="11">
        <f t="shared" si="11"/>
        <v>0</v>
      </c>
      <c r="Q33" s="11">
        <f t="shared" si="23"/>
        <v>0.35781181888581659</v>
      </c>
      <c r="R33" s="20">
        <f t="shared" si="12"/>
        <v>0.99999999999999989</v>
      </c>
      <c r="S33" s="56">
        <v>202.57750000000001</v>
      </c>
      <c r="T33" s="56">
        <v>157.75272342427601</v>
      </c>
      <c r="U33" s="56">
        <v>180.29971015329988</v>
      </c>
      <c r="V33" s="20">
        <f t="shared" ref="V33:V87" si="25">((S33*L33)+(T33*N33)+(U33*P33))/(L33+N33+P33)</f>
        <v>178.58478202081167</v>
      </c>
      <c r="W33" s="20">
        <f>AVERAGE(V29:V32)</f>
        <v>194.58156161829942</v>
      </c>
      <c r="X33" s="36"/>
      <c r="Y33" s="26"/>
      <c r="Z33" s="26"/>
      <c r="AA33" s="26"/>
      <c r="AB33" s="36"/>
      <c r="AC33" s="29"/>
      <c r="AD33" s="29"/>
      <c r="AE33" s="29"/>
      <c r="AF33" s="29"/>
      <c r="AG33" s="29"/>
      <c r="AH33" s="29"/>
      <c r="AI33" s="26"/>
      <c r="AJ33" s="26"/>
      <c r="AK33" s="26"/>
      <c r="AL33" s="26"/>
      <c r="AM33" s="26"/>
      <c r="AN33" s="26"/>
      <c r="AW33" s="5"/>
    </row>
    <row r="34" spans="1:49" x14ac:dyDescent="0.35">
      <c r="A34" s="79">
        <v>1</v>
      </c>
      <c r="B34" s="79">
        <v>12</v>
      </c>
      <c r="C34" s="16" t="str">
        <f t="shared" si="9"/>
        <v>Wed</v>
      </c>
      <c r="D34" s="12">
        <v>44671</v>
      </c>
      <c r="E34">
        <f t="shared" si="24"/>
        <v>114</v>
      </c>
      <c r="F34" s="61">
        <f t="shared" si="14"/>
        <v>168</v>
      </c>
      <c r="G34" s="61">
        <f t="shared" si="10"/>
        <v>37</v>
      </c>
      <c r="H34" s="61">
        <f t="shared" si="15"/>
        <v>12</v>
      </c>
      <c r="I34" s="61">
        <f t="shared" si="16"/>
        <v>0</v>
      </c>
      <c r="J34" s="61">
        <f t="shared" si="17"/>
        <v>0</v>
      </c>
      <c r="K34" s="11">
        <f t="shared" si="18"/>
        <v>0.6785714285714286</v>
      </c>
      <c r="L34" s="11">
        <f t="shared" si="19"/>
        <v>0.16484498811996429</v>
      </c>
      <c r="M34" s="11">
        <f t="shared" si="20"/>
        <v>0.25595238095238093</v>
      </c>
      <c r="N34" s="11">
        <f t="shared" si="21"/>
        <v>0.19377400824046426</v>
      </c>
      <c r="O34" s="11">
        <f t="shared" si="22"/>
        <v>0</v>
      </c>
      <c r="P34" s="11">
        <f t="shared" si="11"/>
        <v>0</v>
      </c>
      <c r="Q34" s="11">
        <f t="shared" si="23"/>
        <v>0.35861899636042854</v>
      </c>
      <c r="R34" s="20">
        <f t="shared" si="12"/>
        <v>1</v>
      </c>
      <c r="S34" s="56">
        <v>201.85</v>
      </c>
      <c r="T34" s="56">
        <v>156.62615585332577</v>
      </c>
      <c r="U34" s="56">
        <v>186.54971015329991</v>
      </c>
      <c r="V34" s="20">
        <f t="shared" si="25"/>
        <v>177.41402299577098</v>
      </c>
      <c r="W34" s="20">
        <f>W33</f>
        <v>194.58156161829942</v>
      </c>
      <c r="X34" s="36"/>
      <c r="Y34" s="26"/>
      <c r="Z34" s="26"/>
      <c r="AA34" s="26"/>
      <c r="AB34" s="36"/>
      <c r="AC34" s="29"/>
      <c r="AD34" s="29"/>
      <c r="AE34" s="29"/>
      <c r="AF34" s="29"/>
      <c r="AG34" s="29"/>
      <c r="AH34" s="29"/>
      <c r="AI34" s="26"/>
      <c r="AJ34" s="26"/>
      <c r="AK34" s="26"/>
      <c r="AL34" s="26"/>
      <c r="AM34" s="26"/>
      <c r="AN34" s="26"/>
      <c r="AW34" s="5"/>
    </row>
    <row r="35" spans="1:49" x14ac:dyDescent="0.35">
      <c r="A35" s="79">
        <v>1</v>
      </c>
      <c r="B35" s="79">
        <v>13</v>
      </c>
      <c r="C35" s="16" t="str">
        <f t="shared" si="9"/>
        <v>Thu</v>
      </c>
      <c r="D35" s="12">
        <v>44672</v>
      </c>
      <c r="E35">
        <f t="shared" si="24"/>
        <v>113</v>
      </c>
      <c r="F35" s="61">
        <f t="shared" si="14"/>
        <v>168</v>
      </c>
      <c r="G35" s="61">
        <f t="shared" si="10"/>
        <v>37</v>
      </c>
      <c r="H35" s="61">
        <f t="shared" si="15"/>
        <v>13</v>
      </c>
      <c r="I35" s="61">
        <f t="shared" si="16"/>
        <v>0</v>
      </c>
      <c r="J35" s="61">
        <f t="shared" si="17"/>
        <v>0</v>
      </c>
      <c r="K35" s="11">
        <f t="shared" si="18"/>
        <v>0.67261904761904767</v>
      </c>
      <c r="L35" s="11">
        <f t="shared" si="19"/>
        <v>0.1633989794522453</v>
      </c>
      <c r="M35" s="11">
        <f t="shared" si="20"/>
        <v>0.25892857142857145</v>
      </c>
      <c r="N35" s="11">
        <f t="shared" si="21"/>
        <v>0.19602719438279528</v>
      </c>
      <c r="O35" s="11">
        <f t="shared" si="22"/>
        <v>0</v>
      </c>
      <c r="P35" s="11">
        <f t="shared" si="11"/>
        <v>0</v>
      </c>
      <c r="Q35" s="11">
        <f t="shared" si="23"/>
        <v>0.35942617383504061</v>
      </c>
      <c r="R35" s="20">
        <f t="shared" si="12"/>
        <v>1</v>
      </c>
      <c r="S35" s="56">
        <v>217.36000000000004</v>
      </c>
      <c r="T35" s="56">
        <v>165.03647320220864</v>
      </c>
      <c r="U35" s="56">
        <v>196.84971015329992</v>
      </c>
      <c r="V35" s="20">
        <f t="shared" si="25"/>
        <v>188.82330761350889</v>
      </c>
      <c r="W35" s="20">
        <f>W33</f>
        <v>194.58156161829942</v>
      </c>
      <c r="X35" s="36"/>
      <c r="Y35" s="26"/>
      <c r="Z35" s="26"/>
      <c r="AA35" s="26"/>
      <c r="AB35" s="36"/>
      <c r="AC35" s="29"/>
      <c r="AD35" s="29"/>
      <c r="AE35" s="29"/>
      <c r="AF35" s="29"/>
      <c r="AG35" s="29"/>
      <c r="AH35" s="29"/>
      <c r="AI35" s="26"/>
      <c r="AJ35" s="26"/>
      <c r="AK35" s="26"/>
      <c r="AL35" s="26"/>
      <c r="AM35" s="26"/>
      <c r="AN35" s="26"/>
      <c r="AW35" s="5"/>
    </row>
    <row r="36" spans="1:49" x14ac:dyDescent="0.35">
      <c r="A36" s="79">
        <v>1</v>
      </c>
      <c r="B36" s="79">
        <v>14</v>
      </c>
      <c r="C36" s="16" t="str">
        <f t="shared" si="9"/>
        <v>Fri</v>
      </c>
      <c r="D36" s="12">
        <v>44673</v>
      </c>
      <c r="E36">
        <f t="shared" si="24"/>
        <v>112</v>
      </c>
      <c r="F36" s="61">
        <f t="shared" si="14"/>
        <v>168</v>
      </c>
      <c r="G36" s="61">
        <f t="shared" si="10"/>
        <v>37</v>
      </c>
      <c r="H36" s="61">
        <f t="shared" si="15"/>
        <v>14</v>
      </c>
      <c r="I36" s="61">
        <f t="shared" si="16"/>
        <v>0</v>
      </c>
      <c r="J36" s="61">
        <f t="shared" si="17"/>
        <v>0</v>
      </c>
      <c r="K36" s="11">
        <f t="shared" si="18"/>
        <v>0.66666666666666663</v>
      </c>
      <c r="L36" s="11">
        <f t="shared" si="19"/>
        <v>0.16195297078452631</v>
      </c>
      <c r="M36" s="11">
        <f t="shared" si="20"/>
        <v>0.26190476190476192</v>
      </c>
      <c r="N36" s="11">
        <f t="shared" si="21"/>
        <v>0.19828038052512625</v>
      </c>
      <c r="O36" s="11">
        <f t="shared" si="22"/>
        <v>0</v>
      </c>
      <c r="P36" s="11">
        <f t="shared" si="11"/>
        <v>0</v>
      </c>
      <c r="Q36" s="11">
        <f t="shared" si="23"/>
        <v>0.36023335130965256</v>
      </c>
      <c r="R36" s="20">
        <f t="shared" si="12"/>
        <v>1</v>
      </c>
      <c r="S36" s="56">
        <v>197.67500000000001</v>
      </c>
      <c r="T36" s="56">
        <v>157.24455483511792</v>
      </c>
      <c r="U36" s="56">
        <v>192.84971015329992</v>
      </c>
      <c r="V36" s="20">
        <f t="shared" si="25"/>
        <v>175.42119139802492</v>
      </c>
      <c r="W36" s="20">
        <f>W33</f>
        <v>194.58156161829942</v>
      </c>
      <c r="X36" s="36"/>
      <c r="Y36" s="26"/>
      <c r="Z36" s="26"/>
      <c r="AA36" s="26"/>
      <c r="AB36" s="36"/>
      <c r="AC36" s="29"/>
      <c r="AD36" s="29"/>
      <c r="AE36" s="29"/>
      <c r="AF36" s="29"/>
      <c r="AG36" s="29"/>
      <c r="AH36" s="29"/>
      <c r="AI36" s="26"/>
      <c r="AJ36" s="26"/>
      <c r="AK36" s="26"/>
      <c r="AL36" s="26"/>
      <c r="AM36" s="26"/>
      <c r="AN36" s="26"/>
      <c r="AW36" s="5"/>
    </row>
    <row r="37" spans="1:49" x14ac:dyDescent="0.35">
      <c r="A37" s="79">
        <v>1</v>
      </c>
      <c r="B37" s="79">
        <v>15</v>
      </c>
      <c r="C37" s="16" t="str">
        <f t="shared" si="9"/>
        <v>Mon</v>
      </c>
      <c r="D37" s="12">
        <v>44676</v>
      </c>
      <c r="E37">
        <f t="shared" si="24"/>
        <v>111</v>
      </c>
      <c r="F37" s="61">
        <f t="shared" si="14"/>
        <v>168</v>
      </c>
      <c r="G37" s="61">
        <f t="shared" si="10"/>
        <v>37</v>
      </c>
      <c r="H37" s="61">
        <f t="shared" si="15"/>
        <v>15</v>
      </c>
      <c r="I37" s="61">
        <f t="shared" si="16"/>
        <v>0</v>
      </c>
      <c r="J37" s="61">
        <f t="shared" si="17"/>
        <v>0</v>
      </c>
      <c r="K37" s="11">
        <f t="shared" si="18"/>
        <v>0.6607142857142857</v>
      </c>
      <c r="L37" s="11">
        <f t="shared" si="19"/>
        <v>0.16050696211680732</v>
      </c>
      <c r="M37" s="11">
        <f t="shared" si="20"/>
        <v>0.26488095238095238</v>
      </c>
      <c r="N37" s="11">
        <f t="shared" si="21"/>
        <v>0.20053356666745722</v>
      </c>
      <c r="O37" s="11">
        <f t="shared" si="22"/>
        <v>0</v>
      </c>
      <c r="P37" s="11">
        <f t="shared" si="11"/>
        <v>0</v>
      </c>
      <c r="Q37" s="11">
        <f t="shared" si="23"/>
        <v>0.36104052878426451</v>
      </c>
      <c r="R37" s="20">
        <f t="shared" si="12"/>
        <v>1</v>
      </c>
      <c r="S37" s="56">
        <v>193.72150000000002</v>
      </c>
      <c r="T37" s="56">
        <v>154.09966373841556</v>
      </c>
      <c r="U37" s="56">
        <v>188.99271595023393</v>
      </c>
      <c r="V37" s="20">
        <f>((S37*L37)+(T37*N37)+(U37*P37))/(L37+N37+P37)</f>
        <v>171.71425286294175</v>
      </c>
      <c r="W37" s="20">
        <f>AVERAGE(V33:V36)</f>
        <v>180.06082600702911</v>
      </c>
      <c r="X37" s="36"/>
      <c r="Y37" s="26"/>
      <c r="Z37" s="26"/>
      <c r="AA37" s="26"/>
      <c r="AB37" s="36"/>
      <c r="AC37" s="29"/>
      <c r="AD37" s="29"/>
      <c r="AE37" s="29"/>
      <c r="AF37" s="29"/>
      <c r="AG37" s="29"/>
      <c r="AH37" s="29"/>
      <c r="AI37" s="26"/>
      <c r="AJ37" s="26"/>
      <c r="AK37" s="26"/>
      <c r="AL37" s="26"/>
      <c r="AM37" s="26"/>
      <c r="AN37" s="26"/>
      <c r="AW37" s="5"/>
    </row>
    <row r="38" spans="1:49" x14ac:dyDescent="0.35">
      <c r="A38" s="79">
        <v>1</v>
      </c>
      <c r="B38" s="79">
        <v>16</v>
      </c>
      <c r="C38" s="16" t="str">
        <f t="shared" si="9"/>
        <v>Tue</v>
      </c>
      <c r="D38" s="12">
        <v>44677</v>
      </c>
      <c r="E38">
        <f t="shared" si="24"/>
        <v>110</v>
      </c>
      <c r="F38" s="61">
        <f t="shared" si="14"/>
        <v>168</v>
      </c>
      <c r="G38" s="61">
        <f t="shared" si="10"/>
        <v>37</v>
      </c>
      <c r="H38" s="61">
        <f t="shared" si="15"/>
        <v>16</v>
      </c>
      <c r="I38" s="61">
        <f t="shared" si="16"/>
        <v>0</v>
      </c>
      <c r="J38" s="61">
        <f t="shared" si="17"/>
        <v>0</v>
      </c>
      <c r="K38" s="11">
        <f t="shared" si="18"/>
        <v>0.65476190476190477</v>
      </c>
      <c r="L38" s="11">
        <f t="shared" si="19"/>
        <v>0.15906095344908833</v>
      </c>
      <c r="M38" s="11">
        <f t="shared" si="20"/>
        <v>0.26785714285714285</v>
      </c>
      <c r="N38" s="11">
        <f t="shared" si="21"/>
        <v>0.2027867528097882</v>
      </c>
      <c r="O38" s="11">
        <f t="shared" si="22"/>
        <v>0</v>
      </c>
      <c r="P38" s="11">
        <f t="shared" si="11"/>
        <v>0</v>
      </c>
      <c r="Q38" s="11">
        <f t="shared" si="23"/>
        <v>0.36184770625887652</v>
      </c>
      <c r="R38" s="20">
        <f t="shared" si="12"/>
        <v>1</v>
      </c>
      <c r="S38" s="56">
        <v>189.84707000000003</v>
      </c>
      <c r="T38" s="56">
        <v>151.01767046364725</v>
      </c>
      <c r="U38" s="56">
        <v>185.21286163122926</v>
      </c>
      <c r="V38" s="20">
        <f t="shared" si="25"/>
        <v>168.0862913372288</v>
      </c>
      <c r="W38" s="20">
        <f>W37</f>
        <v>180.06082600702911</v>
      </c>
      <c r="X38" s="36"/>
      <c r="Y38" s="26"/>
      <c r="Z38" s="26"/>
      <c r="AA38" s="26"/>
      <c r="AB38" s="36"/>
      <c r="AC38" s="29"/>
      <c r="AD38" s="29"/>
      <c r="AE38" s="29"/>
      <c r="AF38" s="29"/>
      <c r="AG38" s="29"/>
      <c r="AH38" s="29"/>
      <c r="AI38" s="26"/>
      <c r="AJ38" s="26"/>
      <c r="AK38" s="26"/>
      <c r="AL38" s="26"/>
      <c r="AM38" s="26"/>
      <c r="AN38" s="26"/>
      <c r="AW38" s="5"/>
    </row>
    <row r="39" spans="1:49" x14ac:dyDescent="0.35">
      <c r="A39" s="79">
        <v>1</v>
      </c>
      <c r="B39" s="79">
        <v>17</v>
      </c>
      <c r="C39" s="16" t="str">
        <f t="shared" si="9"/>
        <v>Wed</v>
      </c>
      <c r="D39" s="12">
        <v>44678</v>
      </c>
      <c r="E39">
        <f t="shared" si="24"/>
        <v>109</v>
      </c>
      <c r="F39" s="61">
        <f t="shared" si="14"/>
        <v>168</v>
      </c>
      <c r="G39" s="61">
        <f t="shared" si="10"/>
        <v>37</v>
      </c>
      <c r="H39" s="61">
        <f t="shared" si="15"/>
        <v>17</v>
      </c>
      <c r="I39" s="61">
        <f t="shared" si="16"/>
        <v>0</v>
      </c>
      <c r="J39" s="61">
        <f t="shared" si="17"/>
        <v>0</v>
      </c>
      <c r="K39" s="11">
        <f t="shared" si="18"/>
        <v>0.64880952380952384</v>
      </c>
      <c r="L39" s="11">
        <f t="shared" si="19"/>
        <v>0.15761494478136936</v>
      </c>
      <c r="M39" s="11">
        <f t="shared" si="20"/>
        <v>0.27083333333333331</v>
      </c>
      <c r="N39" s="11">
        <f t="shared" si="21"/>
        <v>0.20503993895211917</v>
      </c>
      <c r="O39" s="11">
        <f t="shared" si="22"/>
        <v>0</v>
      </c>
      <c r="P39" s="11">
        <f t="shared" si="11"/>
        <v>0</v>
      </c>
      <c r="Q39" s="11">
        <f t="shared" si="23"/>
        <v>0.36265488373348853</v>
      </c>
      <c r="R39" s="20">
        <f t="shared" si="12"/>
        <v>1</v>
      </c>
      <c r="S39" s="56">
        <v>186.05012860000002</v>
      </c>
      <c r="T39" s="56">
        <v>147.99731705437429</v>
      </c>
      <c r="U39" s="56">
        <v>181.50860439860466</v>
      </c>
      <c r="V39" s="20">
        <f t="shared" si="25"/>
        <v>164.53560747747335</v>
      </c>
      <c r="W39" s="20">
        <f>W38</f>
        <v>180.06082600702911</v>
      </c>
      <c r="X39" s="36"/>
      <c r="Y39" s="26"/>
      <c r="Z39" s="26"/>
      <c r="AA39" s="26"/>
      <c r="AB39" s="36"/>
      <c r="AC39" s="29"/>
      <c r="AD39" s="29"/>
      <c r="AE39" s="29"/>
      <c r="AF39" s="29"/>
      <c r="AG39" s="29"/>
      <c r="AH39" s="29"/>
      <c r="AI39" s="26"/>
      <c r="AJ39" s="26"/>
      <c r="AK39" s="26"/>
      <c r="AL39" s="26"/>
      <c r="AM39" s="26"/>
      <c r="AN39" s="26"/>
      <c r="AW39" s="5"/>
    </row>
    <row r="40" spans="1:49" x14ac:dyDescent="0.35">
      <c r="A40" s="79">
        <v>1</v>
      </c>
      <c r="B40" s="79">
        <v>18</v>
      </c>
      <c r="C40" s="16" t="str">
        <f t="shared" si="9"/>
        <v>Thu</v>
      </c>
      <c r="D40" s="12">
        <v>44679</v>
      </c>
      <c r="E40">
        <f t="shared" si="24"/>
        <v>108</v>
      </c>
      <c r="F40" s="61">
        <f t="shared" si="14"/>
        <v>168</v>
      </c>
      <c r="G40" s="61">
        <f t="shared" si="10"/>
        <v>37</v>
      </c>
      <c r="H40" s="61">
        <f t="shared" si="15"/>
        <v>18</v>
      </c>
      <c r="I40" s="61">
        <f t="shared" si="16"/>
        <v>0</v>
      </c>
      <c r="J40" s="61">
        <f t="shared" si="17"/>
        <v>0</v>
      </c>
      <c r="K40" s="11">
        <f t="shared" si="18"/>
        <v>0.6428571428571429</v>
      </c>
      <c r="L40" s="11">
        <f t="shared" si="19"/>
        <v>0.15616893611365038</v>
      </c>
      <c r="M40" s="11">
        <f t="shared" si="20"/>
        <v>0.27380952380952384</v>
      </c>
      <c r="N40" s="11">
        <f t="shared" si="21"/>
        <v>0.20729312509445016</v>
      </c>
      <c r="O40" s="11">
        <f t="shared" si="22"/>
        <v>0</v>
      </c>
      <c r="P40" s="11">
        <f t="shared" si="11"/>
        <v>0</v>
      </c>
      <c r="Q40" s="11">
        <f t="shared" si="23"/>
        <v>0.36346206120810054</v>
      </c>
      <c r="R40" s="20">
        <f t="shared" si="12"/>
        <v>1</v>
      </c>
      <c r="S40" s="56">
        <v>182.32912602800002</v>
      </c>
      <c r="T40" s="56">
        <v>145.0373707132868</v>
      </c>
      <c r="U40" s="56">
        <v>177.87843231063258</v>
      </c>
      <c r="V40" s="20">
        <f t="shared" si="25"/>
        <v>161.06053894699937</v>
      </c>
      <c r="W40" s="20">
        <f>W39</f>
        <v>180.06082600702911</v>
      </c>
      <c r="X40" s="36"/>
      <c r="Y40" s="26"/>
      <c r="Z40" s="26"/>
      <c r="AA40" s="26"/>
      <c r="AB40" s="36"/>
      <c r="AC40" s="29"/>
      <c r="AD40" s="29"/>
      <c r="AE40" s="29"/>
      <c r="AF40" s="29"/>
      <c r="AG40" s="29"/>
      <c r="AH40" s="29"/>
      <c r="AI40" s="26"/>
      <c r="AJ40" s="26"/>
      <c r="AK40" s="26"/>
      <c r="AL40" s="26"/>
      <c r="AM40" s="26"/>
      <c r="AN40" s="26"/>
      <c r="AW40" s="5"/>
    </row>
    <row r="41" spans="1:49" x14ac:dyDescent="0.35">
      <c r="A41" s="79">
        <v>1</v>
      </c>
      <c r="B41" s="79">
        <v>19</v>
      </c>
      <c r="C41" s="16" t="str">
        <f t="shared" si="9"/>
        <v>Fri</v>
      </c>
      <c r="D41" s="12">
        <v>44680</v>
      </c>
      <c r="E41">
        <f t="shared" si="24"/>
        <v>107</v>
      </c>
      <c r="F41" s="61">
        <f t="shared" si="14"/>
        <v>168</v>
      </c>
      <c r="G41" s="61">
        <f t="shared" si="10"/>
        <v>37</v>
      </c>
      <c r="H41" s="61">
        <f t="shared" si="15"/>
        <v>19</v>
      </c>
      <c r="I41" s="61">
        <f t="shared" si="16"/>
        <v>0</v>
      </c>
      <c r="J41" s="61">
        <f t="shared" si="17"/>
        <v>0</v>
      </c>
      <c r="K41" s="11">
        <f t="shared" si="18"/>
        <v>0.63690476190476186</v>
      </c>
      <c r="L41" s="11">
        <f t="shared" si="19"/>
        <v>0.15472292744593139</v>
      </c>
      <c r="M41" s="11">
        <f t="shared" si="20"/>
        <v>0.2767857142857143</v>
      </c>
      <c r="N41" s="11">
        <f t="shared" si="21"/>
        <v>0.20954631123678114</v>
      </c>
      <c r="O41" s="11">
        <f t="shared" si="22"/>
        <v>0</v>
      </c>
      <c r="P41" s="11">
        <f t="shared" si="11"/>
        <v>0</v>
      </c>
      <c r="Q41" s="11">
        <f t="shared" si="23"/>
        <v>0.36426923868271255</v>
      </c>
      <c r="R41" s="20">
        <f t="shared" si="12"/>
        <v>1</v>
      </c>
      <c r="S41" s="56">
        <v>178.68254350744002</v>
      </c>
      <c r="T41" s="56">
        <v>142.13662329902107</v>
      </c>
      <c r="U41" s="56">
        <v>174.32086366441993</v>
      </c>
      <c r="V41" s="20">
        <f t="shared" si="25"/>
        <v>157.65945959807291</v>
      </c>
      <c r="W41" s="20">
        <f>W40</f>
        <v>180.06082600702911</v>
      </c>
      <c r="X41" s="36"/>
      <c r="Y41" s="26"/>
      <c r="Z41" s="26"/>
      <c r="AA41" s="26"/>
      <c r="AB41" s="36"/>
      <c r="AC41" s="29"/>
      <c r="AD41" s="29"/>
      <c r="AE41" s="29"/>
      <c r="AF41" s="29"/>
      <c r="AG41" s="29"/>
      <c r="AH41" s="29"/>
      <c r="AI41" s="26"/>
      <c r="AJ41" s="26"/>
      <c r="AK41" s="26"/>
      <c r="AL41" s="26"/>
      <c r="AM41" s="26"/>
      <c r="AN41" s="26"/>
      <c r="AW41" s="5"/>
    </row>
    <row r="42" spans="1:49" x14ac:dyDescent="0.35">
      <c r="A42" s="79">
        <v>1</v>
      </c>
      <c r="B42" s="79">
        <v>20</v>
      </c>
      <c r="C42" s="16" t="str">
        <f t="shared" si="9"/>
        <v>Tue</v>
      </c>
      <c r="D42" s="12">
        <v>44684</v>
      </c>
      <c r="E42">
        <f t="shared" si="24"/>
        <v>106</v>
      </c>
      <c r="F42" s="61">
        <f t="shared" si="14"/>
        <v>168</v>
      </c>
      <c r="G42" s="61">
        <f t="shared" si="10"/>
        <v>37</v>
      </c>
      <c r="H42" s="61">
        <f t="shared" si="15"/>
        <v>20</v>
      </c>
      <c r="I42" s="61">
        <f t="shared" si="16"/>
        <v>0</v>
      </c>
      <c r="J42" s="61">
        <f t="shared" si="17"/>
        <v>0</v>
      </c>
      <c r="K42" s="11">
        <f t="shared" si="18"/>
        <v>0.63095238095238093</v>
      </c>
      <c r="L42" s="11">
        <f t="shared" si="19"/>
        <v>0.1532769187782124</v>
      </c>
      <c r="M42" s="11">
        <f t="shared" si="20"/>
        <v>0.27976190476190477</v>
      </c>
      <c r="N42" s="11">
        <f t="shared" si="21"/>
        <v>0.21179949737911211</v>
      </c>
      <c r="O42" s="11">
        <f t="shared" si="22"/>
        <v>0</v>
      </c>
      <c r="P42" s="11">
        <f t="shared" si="11"/>
        <v>0</v>
      </c>
      <c r="Q42" s="11">
        <f t="shared" si="23"/>
        <v>0.3650764161573245</v>
      </c>
      <c r="R42" s="20">
        <f t="shared" si="12"/>
        <v>1</v>
      </c>
      <c r="S42" s="56">
        <v>175.10889263729121</v>
      </c>
      <c r="T42" s="56">
        <v>139.29389083304065</v>
      </c>
      <c r="U42" s="56">
        <v>170.83444639113154</v>
      </c>
      <c r="V42" s="20">
        <f t="shared" si="25"/>
        <v>154.33077867250594</v>
      </c>
      <c r="W42" s="20">
        <f>AVERAGE(V37:V41)</f>
        <v>164.61123004454322</v>
      </c>
      <c r="X42" s="36"/>
      <c r="Y42" s="26"/>
      <c r="Z42" s="26"/>
      <c r="AA42" s="26"/>
      <c r="AB42" s="36"/>
      <c r="AC42" s="29"/>
      <c r="AD42" s="29"/>
      <c r="AE42" s="29"/>
      <c r="AF42" s="29"/>
      <c r="AG42" s="29"/>
      <c r="AH42" s="29"/>
      <c r="AI42" s="26"/>
      <c r="AJ42" s="26"/>
      <c r="AK42" s="26"/>
      <c r="AL42" s="26"/>
      <c r="AM42" s="26"/>
      <c r="AN42" s="26"/>
      <c r="AW42" s="5"/>
    </row>
    <row r="43" spans="1:49" x14ac:dyDescent="0.35">
      <c r="A43" s="79">
        <v>1</v>
      </c>
      <c r="B43" s="79">
        <v>21</v>
      </c>
      <c r="C43" s="16" t="str">
        <f t="shared" si="9"/>
        <v>Wed</v>
      </c>
      <c r="D43" s="12">
        <v>44685</v>
      </c>
      <c r="E43">
        <f t="shared" si="24"/>
        <v>105</v>
      </c>
      <c r="F43" s="61">
        <f t="shared" si="14"/>
        <v>168</v>
      </c>
      <c r="G43" s="61">
        <f t="shared" si="10"/>
        <v>37</v>
      </c>
      <c r="H43" s="61">
        <f t="shared" si="15"/>
        <v>21</v>
      </c>
      <c r="I43" s="61">
        <f t="shared" si="16"/>
        <v>0</v>
      </c>
      <c r="J43" s="61">
        <f t="shared" si="17"/>
        <v>0</v>
      </c>
      <c r="K43" s="11">
        <f t="shared" si="18"/>
        <v>0.625</v>
      </c>
      <c r="L43" s="11">
        <f t="shared" si="19"/>
        <v>0.15183091011049341</v>
      </c>
      <c r="M43" s="11">
        <f t="shared" si="20"/>
        <v>0.28273809523809523</v>
      </c>
      <c r="N43" s="11">
        <f t="shared" si="21"/>
        <v>0.2140526835214431</v>
      </c>
      <c r="O43" s="11">
        <f t="shared" si="22"/>
        <v>0</v>
      </c>
      <c r="P43" s="11">
        <f t="shared" si="11"/>
        <v>0</v>
      </c>
      <c r="Q43" s="11">
        <f t="shared" si="23"/>
        <v>0.36588359363193651</v>
      </c>
      <c r="R43" s="20">
        <f t="shared" si="12"/>
        <v>1</v>
      </c>
      <c r="S43" s="56">
        <v>171.60671478454537</v>
      </c>
      <c r="T43" s="56">
        <v>136.50801301637983</v>
      </c>
      <c r="U43" s="56">
        <v>167.4177574633089</v>
      </c>
      <c r="V43" s="20">
        <f t="shared" si="25"/>
        <v>151.07294002023497</v>
      </c>
      <c r="W43" s="20">
        <f>W42</f>
        <v>164.61123004454322</v>
      </c>
      <c r="X43" s="36"/>
      <c r="Y43" s="26"/>
      <c r="Z43" s="26"/>
      <c r="AA43" s="26"/>
      <c r="AB43" s="36"/>
      <c r="AC43" s="29"/>
      <c r="AD43" s="29"/>
      <c r="AE43" s="29"/>
      <c r="AF43" s="29"/>
      <c r="AG43" s="29"/>
      <c r="AH43" s="29"/>
      <c r="AI43" s="26"/>
      <c r="AJ43" s="26"/>
      <c r="AK43" s="26"/>
      <c r="AL43" s="26"/>
      <c r="AM43" s="26"/>
      <c r="AN43" s="26"/>
      <c r="AW43" s="5"/>
    </row>
    <row r="44" spans="1:49" x14ac:dyDescent="0.35">
      <c r="A44" s="79">
        <v>1</v>
      </c>
      <c r="B44" s="79">
        <v>22</v>
      </c>
      <c r="C44" s="16" t="str">
        <f t="shared" si="9"/>
        <v>Thu</v>
      </c>
      <c r="D44" s="12">
        <v>44686</v>
      </c>
      <c r="E44">
        <f t="shared" si="24"/>
        <v>104</v>
      </c>
      <c r="F44" s="61">
        <f t="shared" si="14"/>
        <v>168</v>
      </c>
      <c r="G44" s="61">
        <f t="shared" si="10"/>
        <v>37</v>
      </c>
      <c r="H44" s="61">
        <f t="shared" si="15"/>
        <v>22</v>
      </c>
      <c r="I44" s="61">
        <f t="shared" si="16"/>
        <v>0</v>
      </c>
      <c r="J44" s="61">
        <f t="shared" si="17"/>
        <v>0</v>
      </c>
      <c r="K44" s="11">
        <f t="shared" si="18"/>
        <v>0.61904761904761907</v>
      </c>
      <c r="L44" s="11">
        <f t="shared" si="19"/>
        <v>0.15038490144277444</v>
      </c>
      <c r="M44" s="11">
        <f t="shared" si="20"/>
        <v>0.2857142857142857</v>
      </c>
      <c r="N44" s="11">
        <f t="shared" si="21"/>
        <v>0.21630586966377408</v>
      </c>
      <c r="O44" s="11">
        <f t="shared" si="22"/>
        <v>0</v>
      </c>
      <c r="P44" s="11">
        <f t="shared" si="11"/>
        <v>0</v>
      </c>
      <c r="Q44" s="11">
        <f t="shared" si="23"/>
        <v>0.36669077110654852</v>
      </c>
      <c r="R44" s="20">
        <f t="shared" si="12"/>
        <v>1</v>
      </c>
      <c r="S44" s="56">
        <v>168.17458048885447</v>
      </c>
      <c r="T44" s="56">
        <v>133.77785275605223</v>
      </c>
      <c r="U44" s="56">
        <v>164.06940231404272</v>
      </c>
      <c r="V44" s="20">
        <f t="shared" si="25"/>
        <v>147.88442133546263</v>
      </c>
      <c r="W44" s="20">
        <f>W43</f>
        <v>164.61123004454322</v>
      </c>
      <c r="X44" s="36"/>
      <c r="Y44" s="26"/>
      <c r="Z44" s="26"/>
      <c r="AA44" s="26"/>
      <c r="AB44" s="36"/>
      <c r="AC44" s="29"/>
      <c r="AD44" s="29"/>
      <c r="AE44" s="29"/>
      <c r="AF44" s="29"/>
      <c r="AG44" s="29"/>
      <c r="AH44" s="29"/>
      <c r="AI44" s="26"/>
      <c r="AJ44" s="26"/>
      <c r="AK44" s="26"/>
      <c r="AL44" s="26"/>
      <c r="AM44" s="26"/>
      <c r="AN44" s="26"/>
      <c r="AW44" s="5"/>
    </row>
    <row r="45" spans="1:49" x14ac:dyDescent="0.35">
      <c r="A45" s="79">
        <v>1</v>
      </c>
      <c r="B45" s="79">
        <v>23</v>
      </c>
      <c r="C45" s="16" t="str">
        <f t="shared" si="9"/>
        <v>Fri</v>
      </c>
      <c r="D45" s="12">
        <v>44687</v>
      </c>
      <c r="E45">
        <f t="shared" si="24"/>
        <v>103</v>
      </c>
      <c r="F45" s="61">
        <f t="shared" si="14"/>
        <v>168</v>
      </c>
      <c r="G45" s="61">
        <f t="shared" si="10"/>
        <v>37</v>
      </c>
      <c r="H45" s="61">
        <f t="shared" si="15"/>
        <v>23</v>
      </c>
      <c r="I45" s="61">
        <f t="shared" si="16"/>
        <v>0</v>
      </c>
      <c r="J45" s="61">
        <f t="shared" si="17"/>
        <v>0</v>
      </c>
      <c r="K45" s="11">
        <f t="shared" si="18"/>
        <v>0.61309523809523814</v>
      </c>
      <c r="L45" s="11">
        <f t="shared" si="19"/>
        <v>0.14893889277505545</v>
      </c>
      <c r="M45" s="11">
        <f t="shared" si="20"/>
        <v>0.28869047619047616</v>
      </c>
      <c r="N45" s="11">
        <f t="shared" si="21"/>
        <v>0.21855905580610505</v>
      </c>
      <c r="O45" s="11">
        <f t="shared" si="22"/>
        <v>0</v>
      </c>
      <c r="P45" s="11">
        <f t="shared" si="11"/>
        <v>0</v>
      </c>
      <c r="Q45" s="11">
        <f t="shared" si="23"/>
        <v>0.36749794858116047</v>
      </c>
      <c r="R45" s="20">
        <f t="shared" si="12"/>
        <v>1</v>
      </c>
      <c r="S45" s="56">
        <v>164.81108887907737</v>
      </c>
      <c r="T45" s="56">
        <v>131.10229570093119</v>
      </c>
      <c r="U45" s="56">
        <v>160.78801426776187</v>
      </c>
      <c r="V45" s="20">
        <f t="shared" si="25"/>
        <v>144.76373340995738</v>
      </c>
      <c r="W45" s="20">
        <f>W44</f>
        <v>164.61123004454322</v>
      </c>
      <c r="X45" s="36"/>
      <c r="Y45" s="26"/>
      <c r="Z45" s="26"/>
      <c r="AA45" s="26"/>
      <c r="AB45" s="36"/>
      <c r="AC45" s="29"/>
      <c r="AD45" s="29"/>
      <c r="AE45" s="29"/>
      <c r="AF45" s="29"/>
      <c r="AG45" s="29"/>
      <c r="AH45" s="29"/>
      <c r="AI45" s="26"/>
      <c r="AJ45" s="26"/>
      <c r="AK45" s="26"/>
      <c r="AL45" s="26"/>
      <c r="AM45" s="26"/>
      <c r="AN45" s="26"/>
      <c r="AW45" s="5"/>
    </row>
    <row r="46" spans="1:49" x14ac:dyDescent="0.35">
      <c r="A46" s="79">
        <v>1</v>
      </c>
      <c r="B46" s="79">
        <v>24</v>
      </c>
      <c r="C46" s="16" t="str">
        <f t="shared" si="9"/>
        <v>Mon</v>
      </c>
      <c r="D46" s="12">
        <v>44690</v>
      </c>
      <c r="E46">
        <f t="shared" si="24"/>
        <v>102</v>
      </c>
      <c r="F46" s="61">
        <f t="shared" si="14"/>
        <v>168</v>
      </c>
      <c r="G46" s="61">
        <f t="shared" si="10"/>
        <v>37</v>
      </c>
      <c r="H46" s="61">
        <f t="shared" si="15"/>
        <v>24</v>
      </c>
      <c r="I46" s="61">
        <f t="shared" si="16"/>
        <v>0</v>
      </c>
      <c r="J46" s="61">
        <f t="shared" si="17"/>
        <v>0</v>
      </c>
      <c r="K46" s="11">
        <f t="shared" si="18"/>
        <v>0.6071428571428571</v>
      </c>
      <c r="L46" s="11">
        <f t="shared" si="19"/>
        <v>0.14749288410733644</v>
      </c>
      <c r="M46" s="11">
        <f t="shared" si="20"/>
        <v>0.29166666666666669</v>
      </c>
      <c r="N46" s="11">
        <f t="shared" si="21"/>
        <v>0.22081224194843604</v>
      </c>
      <c r="O46" s="11">
        <f t="shared" si="22"/>
        <v>0</v>
      </c>
      <c r="P46" s="11">
        <f t="shared" si="11"/>
        <v>0</v>
      </c>
      <c r="Q46" s="11">
        <f t="shared" si="23"/>
        <v>0.36830512605577248</v>
      </c>
      <c r="R46" s="20">
        <f t="shared" si="12"/>
        <v>1</v>
      </c>
      <c r="S46" s="56">
        <v>161.51486710149584</v>
      </c>
      <c r="T46" s="56">
        <v>128.48024978691257</v>
      </c>
      <c r="U46" s="56">
        <v>157.57225398240664</v>
      </c>
      <c r="V46" s="20">
        <f t="shared" si="25"/>
        <v>141.70941940311883</v>
      </c>
      <c r="W46" s="20">
        <f>AVERAGE(V42:V45)</f>
        <v>149.51296835954022</v>
      </c>
      <c r="X46" s="36"/>
      <c r="Y46" s="26"/>
      <c r="Z46" s="26"/>
      <c r="AA46" s="26"/>
      <c r="AB46" s="36"/>
      <c r="AC46" s="29"/>
      <c r="AD46" s="29"/>
      <c r="AE46" s="29"/>
      <c r="AF46" s="29"/>
      <c r="AG46" s="29"/>
      <c r="AH46" s="29"/>
      <c r="AI46" s="26"/>
      <c r="AJ46" s="26"/>
      <c r="AK46" s="26"/>
      <c r="AL46" s="26"/>
      <c r="AM46" s="26"/>
      <c r="AN46" s="26"/>
      <c r="AW46" s="5"/>
    </row>
    <row r="47" spans="1:49" x14ac:dyDescent="0.35">
      <c r="A47" s="79">
        <v>1</v>
      </c>
      <c r="B47" s="79">
        <v>25</v>
      </c>
      <c r="C47" s="16" t="str">
        <f t="shared" si="9"/>
        <v>Tue</v>
      </c>
      <c r="D47" s="12">
        <v>44691</v>
      </c>
      <c r="E47">
        <f t="shared" si="24"/>
        <v>101</v>
      </c>
      <c r="F47" s="61">
        <f t="shared" si="14"/>
        <v>168</v>
      </c>
      <c r="G47" s="61">
        <f t="shared" si="10"/>
        <v>37</v>
      </c>
      <c r="H47" s="61">
        <f t="shared" si="15"/>
        <v>25</v>
      </c>
      <c r="I47" s="61">
        <f t="shared" si="16"/>
        <v>0</v>
      </c>
      <c r="J47" s="61">
        <f t="shared" si="17"/>
        <v>0</v>
      </c>
      <c r="K47" s="11">
        <f t="shared" si="18"/>
        <v>0.60119047619047616</v>
      </c>
      <c r="L47" s="11">
        <f t="shared" si="19"/>
        <v>0.14604687543961747</v>
      </c>
      <c r="M47" s="11">
        <f t="shared" si="20"/>
        <v>0.29464285714285715</v>
      </c>
      <c r="N47" s="11">
        <f t="shared" si="21"/>
        <v>0.22306542809076702</v>
      </c>
      <c r="O47" s="11">
        <f t="shared" si="22"/>
        <v>0</v>
      </c>
      <c r="P47" s="11">
        <f t="shared" si="11"/>
        <v>0</v>
      </c>
      <c r="Q47" s="11">
        <f t="shared" si="23"/>
        <v>0.36911230353038449</v>
      </c>
      <c r="R47" s="20">
        <f t="shared" si="12"/>
        <v>1</v>
      </c>
      <c r="S47" s="56">
        <v>158.28456975946591</v>
      </c>
      <c r="T47" s="56">
        <v>125.91064479117432</v>
      </c>
      <c r="U47" s="56">
        <v>154.42080890275849</v>
      </c>
      <c r="V47" s="20">
        <f t="shared" si="25"/>
        <v>138.72005412842333</v>
      </c>
      <c r="W47" s="20">
        <f>W46</f>
        <v>149.51296835954022</v>
      </c>
      <c r="X47" s="36"/>
      <c r="Y47" s="26"/>
      <c r="Z47" s="26"/>
      <c r="AA47" s="26"/>
      <c r="AB47" s="36"/>
      <c r="AC47" s="29"/>
      <c r="AD47" s="29"/>
      <c r="AE47" s="29"/>
      <c r="AF47" s="29"/>
      <c r="AG47" s="29"/>
      <c r="AH47" s="29"/>
      <c r="AI47" s="26"/>
      <c r="AJ47" s="26"/>
      <c r="AK47" s="26"/>
      <c r="AL47" s="26"/>
      <c r="AM47" s="26"/>
      <c r="AN47" s="26"/>
      <c r="AW47" s="5"/>
    </row>
    <row r="48" spans="1:49" x14ac:dyDescent="0.35">
      <c r="A48" s="79">
        <v>1</v>
      </c>
      <c r="B48" s="79">
        <v>26</v>
      </c>
      <c r="C48" s="16" t="str">
        <f t="shared" si="9"/>
        <v>Wed</v>
      </c>
      <c r="D48" s="12">
        <v>44692</v>
      </c>
      <c r="E48">
        <f t="shared" si="24"/>
        <v>100</v>
      </c>
      <c r="F48" s="61">
        <f t="shared" si="14"/>
        <v>168</v>
      </c>
      <c r="G48" s="61">
        <f t="shared" si="10"/>
        <v>37</v>
      </c>
      <c r="H48" s="61">
        <f t="shared" si="15"/>
        <v>26</v>
      </c>
      <c r="I48" s="61">
        <f t="shared" si="16"/>
        <v>0</v>
      </c>
      <c r="J48" s="61">
        <f t="shared" si="17"/>
        <v>0</v>
      </c>
      <c r="K48" s="11">
        <f t="shared" si="18"/>
        <v>0.59523809523809523</v>
      </c>
      <c r="L48" s="11">
        <f t="shared" si="19"/>
        <v>0.14460086677189848</v>
      </c>
      <c r="M48" s="11">
        <f t="shared" si="20"/>
        <v>0.29761904761904762</v>
      </c>
      <c r="N48" s="11">
        <f t="shared" si="21"/>
        <v>0.22531861423309799</v>
      </c>
      <c r="O48" s="11">
        <f t="shared" si="22"/>
        <v>0</v>
      </c>
      <c r="P48" s="11">
        <f t="shared" si="11"/>
        <v>0</v>
      </c>
      <c r="Q48" s="11">
        <f t="shared" si="23"/>
        <v>0.3699194810049965</v>
      </c>
      <c r="R48" s="20">
        <f t="shared" si="12"/>
        <v>1</v>
      </c>
      <c r="S48" s="56">
        <v>155.11887836427658</v>
      </c>
      <c r="T48" s="56">
        <v>123.39243189535084</v>
      </c>
      <c r="U48" s="56">
        <v>151.33239272470331</v>
      </c>
      <c r="V48" s="20">
        <f t="shared" si="25"/>
        <v>135.79424335587493</v>
      </c>
      <c r="W48" s="20">
        <f t="shared" ref="W48:W50" si="26">W47</f>
        <v>149.51296835954022</v>
      </c>
      <c r="X48" s="36"/>
      <c r="Y48" s="26"/>
      <c r="Z48" s="26"/>
      <c r="AA48" s="26"/>
      <c r="AB48" s="36"/>
      <c r="AC48" s="29"/>
      <c r="AD48" s="29"/>
      <c r="AE48" s="29"/>
      <c r="AF48" s="29"/>
      <c r="AG48" s="29"/>
      <c r="AH48" s="29"/>
      <c r="AI48" s="26"/>
      <c r="AJ48" s="26"/>
      <c r="AK48" s="26"/>
      <c r="AL48" s="26"/>
      <c r="AM48" s="26"/>
      <c r="AN48" s="26"/>
      <c r="AW48" s="5"/>
    </row>
    <row r="49" spans="1:49" x14ac:dyDescent="0.35">
      <c r="A49" s="79">
        <v>1</v>
      </c>
      <c r="B49" s="79">
        <v>27</v>
      </c>
      <c r="C49" s="16" t="str">
        <f t="shared" si="9"/>
        <v>Thu</v>
      </c>
      <c r="D49" s="12">
        <v>44693</v>
      </c>
      <c r="E49">
        <f t="shared" si="24"/>
        <v>99</v>
      </c>
      <c r="F49" s="61">
        <f t="shared" si="14"/>
        <v>168</v>
      </c>
      <c r="G49" s="61">
        <f t="shared" si="10"/>
        <v>37</v>
      </c>
      <c r="H49" s="61">
        <f t="shared" si="15"/>
        <v>27</v>
      </c>
      <c r="I49" s="61">
        <f t="shared" si="16"/>
        <v>0</v>
      </c>
      <c r="J49" s="61">
        <f t="shared" si="17"/>
        <v>0</v>
      </c>
      <c r="K49" s="11">
        <f t="shared" si="18"/>
        <v>0.5892857142857143</v>
      </c>
      <c r="L49" s="11">
        <f t="shared" si="19"/>
        <v>0.14315485810417949</v>
      </c>
      <c r="M49" s="11">
        <f t="shared" si="20"/>
        <v>0.30059523809523808</v>
      </c>
      <c r="N49" s="11">
        <f t="shared" si="21"/>
        <v>0.22757180037542896</v>
      </c>
      <c r="O49" s="11">
        <f t="shared" si="22"/>
        <v>0</v>
      </c>
      <c r="P49" s="11">
        <f t="shared" si="11"/>
        <v>0</v>
      </c>
      <c r="Q49" s="11">
        <f t="shared" si="23"/>
        <v>0.37072665847960845</v>
      </c>
      <c r="R49" s="20">
        <f t="shared" si="12"/>
        <v>1</v>
      </c>
      <c r="S49" s="56">
        <v>152.01650079699104</v>
      </c>
      <c r="T49" s="56">
        <v>120.92458325744383</v>
      </c>
      <c r="U49" s="56">
        <v>148.30574487020925</v>
      </c>
      <c r="V49" s="20">
        <f t="shared" si="25"/>
        <v>132.93062313009452</v>
      </c>
      <c r="W49" s="20">
        <f t="shared" si="26"/>
        <v>149.51296835954022</v>
      </c>
      <c r="X49" s="36"/>
      <c r="Y49" s="26"/>
      <c r="Z49" s="26"/>
      <c r="AA49" s="26"/>
      <c r="AB49" s="36"/>
      <c r="AC49" s="29"/>
      <c r="AD49" s="29"/>
      <c r="AE49" s="29"/>
      <c r="AF49" s="29"/>
      <c r="AG49" s="29"/>
      <c r="AH49" s="29"/>
      <c r="AI49" s="26"/>
      <c r="AJ49" s="26"/>
      <c r="AK49" s="26"/>
      <c r="AL49" s="26"/>
      <c r="AM49" s="26"/>
      <c r="AN49" s="26"/>
      <c r="AW49" s="5"/>
    </row>
    <row r="50" spans="1:49" x14ac:dyDescent="0.35">
      <c r="A50" s="79">
        <v>1</v>
      </c>
      <c r="B50" s="79">
        <v>28</v>
      </c>
      <c r="C50" s="16" t="str">
        <f t="shared" si="9"/>
        <v>Fri</v>
      </c>
      <c r="D50" s="12">
        <v>44694</v>
      </c>
      <c r="E50">
        <f t="shared" si="24"/>
        <v>98</v>
      </c>
      <c r="F50" s="61">
        <f t="shared" si="14"/>
        <v>168</v>
      </c>
      <c r="G50" s="61">
        <f t="shared" si="10"/>
        <v>37</v>
      </c>
      <c r="H50" s="61">
        <f t="shared" si="15"/>
        <v>28</v>
      </c>
      <c r="I50" s="61">
        <f t="shared" si="16"/>
        <v>0</v>
      </c>
      <c r="J50" s="61">
        <f t="shared" si="17"/>
        <v>0</v>
      </c>
      <c r="K50" s="11">
        <f t="shared" si="18"/>
        <v>0.58333333333333337</v>
      </c>
      <c r="L50" s="11">
        <f t="shared" si="19"/>
        <v>0.14170884943646053</v>
      </c>
      <c r="M50" s="11">
        <f t="shared" si="20"/>
        <v>0.30357142857142855</v>
      </c>
      <c r="N50" s="11">
        <f t="shared" si="21"/>
        <v>0.22982498651775993</v>
      </c>
      <c r="O50" s="11">
        <f t="shared" si="22"/>
        <v>0</v>
      </c>
      <c r="P50" s="11">
        <f t="shared" si="11"/>
        <v>0</v>
      </c>
      <c r="Q50" s="11">
        <f t="shared" si="23"/>
        <v>0.37153383595422046</v>
      </c>
      <c r="R50" s="20">
        <f t="shared" si="12"/>
        <v>1</v>
      </c>
      <c r="S50" s="56">
        <v>148.97617078105122</v>
      </c>
      <c r="T50" s="56">
        <v>118.50609159229495</v>
      </c>
      <c r="U50" s="56">
        <v>145.33962997280506</v>
      </c>
      <c r="V50" s="20">
        <f t="shared" si="25"/>
        <v>130.12785910368933</v>
      </c>
      <c r="W50" s="20">
        <f t="shared" si="26"/>
        <v>149.51296835954022</v>
      </c>
      <c r="X50" s="36"/>
      <c r="Y50" s="26"/>
      <c r="Z50" s="26"/>
      <c r="AA50" s="26"/>
      <c r="AB50" s="36"/>
      <c r="AC50" s="29"/>
      <c r="AD50" s="29"/>
      <c r="AE50" s="29"/>
      <c r="AF50" s="29"/>
      <c r="AG50" s="29"/>
      <c r="AH50" s="29"/>
      <c r="AI50" s="26"/>
      <c r="AJ50" s="26"/>
      <c r="AK50" s="26"/>
      <c r="AL50" s="26"/>
      <c r="AM50" s="26"/>
      <c r="AN50" s="26"/>
      <c r="AW50" s="5"/>
    </row>
    <row r="51" spans="1:49" x14ac:dyDescent="0.35">
      <c r="A51" s="79">
        <v>1</v>
      </c>
      <c r="B51" s="79">
        <v>29</v>
      </c>
      <c r="C51" s="16" t="str">
        <f t="shared" si="9"/>
        <v>Mon</v>
      </c>
      <c r="D51" s="12">
        <v>44697</v>
      </c>
      <c r="E51">
        <f t="shared" si="24"/>
        <v>97</v>
      </c>
      <c r="F51" s="61">
        <f t="shared" si="14"/>
        <v>168</v>
      </c>
      <c r="G51" s="61">
        <f t="shared" si="10"/>
        <v>37</v>
      </c>
      <c r="H51" s="61">
        <f t="shared" si="15"/>
        <v>29</v>
      </c>
      <c r="I51" s="61">
        <f t="shared" si="16"/>
        <v>0</v>
      </c>
      <c r="J51" s="61">
        <f t="shared" si="17"/>
        <v>0</v>
      </c>
      <c r="K51" s="11">
        <f t="shared" si="18"/>
        <v>0.57738095238095233</v>
      </c>
      <c r="L51" s="11">
        <f t="shared" si="19"/>
        <v>0.14026284076874151</v>
      </c>
      <c r="M51" s="11">
        <f t="shared" si="20"/>
        <v>0.30654761904761907</v>
      </c>
      <c r="N51" s="11">
        <f t="shared" si="21"/>
        <v>0.23207817266009095</v>
      </c>
      <c r="O51" s="11">
        <f t="shared" si="22"/>
        <v>0</v>
      </c>
      <c r="P51" s="11">
        <f t="shared" si="11"/>
        <v>0</v>
      </c>
      <c r="Q51" s="11">
        <f t="shared" si="23"/>
        <v>0.37234101342883247</v>
      </c>
      <c r="R51" s="20">
        <f t="shared" si="12"/>
        <v>1</v>
      </c>
      <c r="S51" s="56">
        <v>145.99664736543019</v>
      </c>
      <c r="T51" s="56">
        <v>116.13596976044906</v>
      </c>
      <c r="U51" s="56">
        <v>142.43283737334895</v>
      </c>
      <c r="V51" s="20">
        <f t="shared" si="25"/>
        <v>127.38464588555377</v>
      </c>
      <c r="W51" s="20">
        <f>AVERAGE(V46:V50)</f>
        <v>135.85643982424017</v>
      </c>
      <c r="X51" s="36"/>
      <c r="Y51" s="26"/>
      <c r="Z51" s="26"/>
      <c r="AA51" s="26"/>
      <c r="AB51" s="36"/>
      <c r="AC51" s="29"/>
      <c r="AD51" s="29"/>
      <c r="AE51" s="29"/>
      <c r="AF51" s="29"/>
      <c r="AG51" s="29"/>
      <c r="AH51" s="29"/>
      <c r="AI51" s="26"/>
      <c r="AJ51" s="26"/>
      <c r="AK51" s="26"/>
      <c r="AL51" s="26"/>
      <c r="AM51" s="26"/>
      <c r="AN51" s="26"/>
      <c r="AW51" s="5"/>
    </row>
    <row r="52" spans="1:49" x14ac:dyDescent="0.35">
      <c r="A52" s="79">
        <v>1</v>
      </c>
      <c r="B52" s="79">
        <v>30</v>
      </c>
      <c r="C52" s="16" t="str">
        <f t="shared" si="9"/>
        <v>Tue</v>
      </c>
      <c r="D52" s="12">
        <v>44698</v>
      </c>
      <c r="E52">
        <f t="shared" si="24"/>
        <v>96</v>
      </c>
      <c r="F52" s="61">
        <f t="shared" si="14"/>
        <v>168</v>
      </c>
      <c r="G52" s="61">
        <f t="shared" si="10"/>
        <v>37</v>
      </c>
      <c r="H52" s="61">
        <f t="shared" si="15"/>
        <v>30</v>
      </c>
      <c r="I52" s="61">
        <f t="shared" si="16"/>
        <v>0</v>
      </c>
      <c r="J52" s="61">
        <f t="shared" si="17"/>
        <v>0</v>
      </c>
      <c r="K52" s="11">
        <f t="shared" si="18"/>
        <v>0.5714285714285714</v>
      </c>
      <c r="L52" s="11">
        <f t="shared" si="19"/>
        <v>0.13881683210102255</v>
      </c>
      <c r="M52" s="11">
        <f t="shared" si="20"/>
        <v>0.30952380952380953</v>
      </c>
      <c r="N52" s="11">
        <f t="shared" si="21"/>
        <v>0.23433135880242192</v>
      </c>
      <c r="O52" s="11">
        <f t="shared" si="22"/>
        <v>0</v>
      </c>
      <c r="P52" s="11">
        <f t="shared" si="11"/>
        <v>0</v>
      </c>
      <c r="Q52" s="11">
        <f t="shared" si="23"/>
        <v>0.37314819090344448</v>
      </c>
      <c r="R52" s="20">
        <f t="shared" si="12"/>
        <v>1</v>
      </c>
      <c r="S52" s="56">
        <v>143.07671441812158</v>
      </c>
      <c r="T52" s="56">
        <v>113.81325036524008</v>
      </c>
      <c r="U52" s="56">
        <v>139.58418062588197</v>
      </c>
      <c r="V52" s="20">
        <f t="shared" si="25"/>
        <v>124.69970640375884</v>
      </c>
      <c r="W52" s="20">
        <f>W51</f>
        <v>135.85643982424017</v>
      </c>
      <c r="X52" s="36"/>
      <c r="Y52" s="26"/>
      <c r="Z52" s="26"/>
      <c r="AA52" s="26"/>
      <c r="AB52" s="36"/>
      <c r="AC52" s="29"/>
      <c r="AD52" s="29"/>
      <c r="AE52" s="29"/>
      <c r="AF52" s="29"/>
      <c r="AG52" s="29"/>
      <c r="AH52" s="29"/>
      <c r="AI52" s="26"/>
      <c r="AJ52" s="26"/>
      <c r="AK52" s="26"/>
      <c r="AL52" s="26"/>
      <c r="AM52" s="26"/>
      <c r="AN52" s="26"/>
      <c r="AW52" s="5"/>
    </row>
    <row r="53" spans="1:49" x14ac:dyDescent="0.35">
      <c r="A53" s="79">
        <v>1</v>
      </c>
      <c r="B53" s="79">
        <v>31</v>
      </c>
      <c r="C53" s="16" t="str">
        <f t="shared" si="9"/>
        <v>Wed</v>
      </c>
      <c r="D53" s="12">
        <v>44699</v>
      </c>
      <c r="E53">
        <f t="shared" si="24"/>
        <v>95</v>
      </c>
      <c r="F53" s="61">
        <f t="shared" si="14"/>
        <v>168</v>
      </c>
      <c r="G53" s="61">
        <f t="shared" si="10"/>
        <v>37</v>
      </c>
      <c r="H53" s="61">
        <f t="shared" si="15"/>
        <v>31</v>
      </c>
      <c r="I53" s="61">
        <f t="shared" si="16"/>
        <v>0</v>
      </c>
      <c r="J53" s="61">
        <f t="shared" si="17"/>
        <v>0</v>
      </c>
      <c r="K53" s="11">
        <f t="shared" si="18"/>
        <v>0.56547619047619047</v>
      </c>
      <c r="L53" s="11">
        <f t="shared" si="19"/>
        <v>0.13737082343330356</v>
      </c>
      <c r="M53" s="11">
        <f t="shared" si="20"/>
        <v>0.3125</v>
      </c>
      <c r="N53" s="11">
        <f t="shared" si="21"/>
        <v>0.23658454494475289</v>
      </c>
      <c r="O53" s="11">
        <f t="shared" si="22"/>
        <v>0</v>
      </c>
      <c r="P53" s="11">
        <f t="shared" si="11"/>
        <v>0</v>
      </c>
      <c r="Q53" s="11">
        <f t="shared" si="23"/>
        <v>0.37395536837805643</v>
      </c>
      <c r="R53" s="20">
        <f t="shared" si="12"/>
        <v>1</v>
      </c>
      <c r="S53" s="56">
        <v>140.21518012975915</v>
      </c>
      <c r="T53" s="56">
        <v>111.53698535793528</v>
      </c>
      <c r="U53" s="56">
        <v>136.79249701336434</v>
      </c>
      <c r="V53" s="20">
        <f t="shared" si="25"/>
        <v>122.07179128269836</v>
      </c>
      <c r="W53" s="20">
        <f>W52</f>
        <v>135.85643982424017</v>
      </c>
      <c r="X53" s="36"/>
      <c r="Y53" s="26"/>
      <c r="Z53" s="26"/>
      <c r="AA53" s="26"/>
      <c r="AB53" s="36"/>
      <c r="AC53" s="29"/>
      <c r="AD53" s="29"/>
      <c r="AE53" s="29"/>
      <c r="AF53" s="29"/>
      <c r="AG53" s="29"/>
      <c r="AH53" s="29"/>
      <c r="AI53" s="26"/>
      <c r="AJ53" s="26"/>
      <c r="AK53" s="26"/>
      <c r="AL53" s="26"/>
      <c r="AM53" s="26"/>
      <c r="AN53" s="26"/>
      <c r="AW53" s="5"/>
    </row>
    <row r="54" spans="1:49" x14ac:dyDescent="0.35">
      <c r="A54" s="79">
        <v>1</v>
      </c>
      <c r="B54" s="79">
        <v>32</v>
      </c>
      <c r="C54" s="16" t="str">
        <f t="shared" si="9"/>
        <v>Thu</v>
      </c>
      <c r="D54" s="12">
        <v>44700</v>
      </c>
      <c r="E54">
        <f t="shared" si="24"/>
        <v>94</v>
      </c>
      <c r="F54" s="61">
        <f t="shared" si="14"/>
        <v>168</v>
      </c>
      <c r="G54" s="61">
        <f t="shared" si="10"/>
        <v>37</v>
      </c>
      <c r="H54" s="61">
        <f t="shared" si="15"/>
        <v>32</v>
      </c>
      <c r="I54" s="61">
        <f t="shared" si="16"/>
        <v>0</v>
      </c>
      <c r="J54" s="61">
        <f t="shared" si="17"/>
        <v>0</v>
      </c>
      <c r="K54" s="11">
        <f t="shared" si="18"/>
        <v>0.55952380952380953</v>
      </c>
      <c r="L54" s="11">
        <f t="shared" si="19"/>
        <v>0.13592481476558457</v>
      </c>
      <c r="M54" s="11">
        <f t="shared" si="20"/>
        <v>0.31547619047619047</v>
      </c>
      <c r="N54" s="11">
        <f t="shared" si="21"/>
        <v>0.23883773108708387</v>
      </c>
      <c r="O54" s="11">
        <f t="shared" si="22"/>
        <v>0</v>
      </c>
      <c r="P54" s="11">
        <f t="shared" si="11"/>
        <v>0</v>
      </c>
      <c r="Q54" s="11">
        <f t="shared" si="23"/>
        <v>0.37476254585266844</v>
      </c>
      <c r="R54" s="20">
        <f t="shared" si="12"/>
        <v>1</v>
      </c>
      <c r="S54" s="56">
        <v>137.41087652716396</v>
      </c>
      <c r="T54" s="56">
        <v>109.30624565077657</v>
      </c>
      <c r="U54" s="56">
        <v>134.05664707309705</v>
      </c>
      <c r="V54" s="20">
        <f t="shared" si="25"/>
        <v>119.4996782341647</v>
      </c>
      <c r="W54" s="20">
        <f>W53</f>
        <v>135.85643982424017</v>
      </c>
      <c r="X54" s="36"/>
      <c r="Y54" s="26"/>
      <c r="Z54" s="26"/>
      <c r="AA54" s="26"/>
      <c r="AB54" s="36"/>
      <c r="AC54" s="29"/>
      <c r="AD54" s="29"/>
      <c r="AE54" s="29"/>
      <c r="AF54" s="29"/>
      <c r="AG54" s="29"/>
      <c r="AH54" s="29"/>
      <c r="AI54" s="26"/>
      <c r="AJ54" s="26"/>
      <c r="AK54" s="26"/>
      <c r="AL54" s="26"/>
      <c r="AM54" s="26"/>
      <c r="AN54" s="26"/>
      <c r="AW54" s="5"/>
    </row>
    <row r="55" spans="1:49" x14ac:dyDescent="0.35">
      <c r="A55" s="79">
        <v>1</v>
      </c>
      <c r="B55" s="79">
        <v>33</v>
      </c>
      <c r="C55" s="16" t="str">
        <f t="shared" si="9"/>
        <v>Fri</v>
      </c>
      <c r="D55" s="12">
        <v>44701</v>
      </c>
      <c r="E55">
        <f t="shared" si="24"/>
        <v>93</v>
      </c>
      <c r="F55" s="61">
        <f t="shared" si="14"/>
        <v>168</v>
      </c>
      <c r="G55" s="61">
        <f t="shared" ref="G55:G86" si="27">$E$18</f>
        <v>37</v>
      </c>
      <c r="H55" s="61">
        <f t="shared" si="15"/>
        <v>33</v>
      </c>
      <c r="I55" s="61">
        <f t="shared" si="16"/>
        <v>1</v>
      </c>
      <c r="J55" s="61">
        <f t="shared" si="17"/>
        <v>0</v>
      </c>
      <c r="K55" s="11">
        <f t="shared" si="18"/>
        <v>0.5535714285714286</v>
      </c>
      <c r="L55" s="11">
        <f t="shared" si="19"/>
        <v>0.13447880609786561</v>
      </c>
      <c r="M55" s="11">
        <f t="shared" si="20"/>
        <v>0.32142857142857145</v>
      </c>
      <c r="N55" s="11">
        <f t="shared" si="21"/>
        <v>0.24334410337174586</v>
      </c>
      <c r="O55" s="11">
        <f t="shared" si="22"/>
        <v>0</v>
      </c>
      <c r="P55" s="11">
        <f t="shared" si="11"/>
        <v>0</v>
      </c>
      <c r="Q55" s="11">
        <f t="shared" si="23"/>
        <v>0.3778229094696115</v>
      </c>
      <c r="R55" s="20">
        <f t="shared" si="12"/>
        <v>0.99999999999999989</v>
      </c>
      <c r="S55" s="56">
        <v>134.66265899662068</v>
      </c>
      <c r="T55" s="56">
        <v>107.12012073776104</v>
      </c>
      <c r="U55" s="56">
        <v>131.3755141316351</v>
      </c>
      <c r="V55" s="20">
        <f t="shared" si="25"/>
        <v>116.92335809876636</v>
      </c>
      <c r="W55" s="20">
        <f>W54</f>
        <v>135.85643982424017</v>
      </c>
      <c r="X55" s="36"/>
      <c r="Y55" s="26"/>
      <c r="Z55" s="26"/>
      <c r="AA55" s="26"/>
      <c r="AB55" s="36"/>
      <c r="AC55" s="29"/>
      <c r="AD55" s="29"/>
      <c r="AE55" s="29"/>
      <c r="AF55" s="29"/>
      <c r="AG55" s="29"/>
      <c r="AH55" s="29"/>
      <c r="AI55" s="26"/>
      <c r="AJ55" s="26"/>
      <c r="AK55" s="26"/>
      <c r="AL55" s="26"/>
      <c r="AM55" s="26"/>
      <c r="AN55" s="26"/>
      <c r="AW55" s="5"/>
    </row>
    <row r="56" spans="1:49" x14ac:dyDescent="0.35">
      <c r="A56" s="79">
        <v>1</v>
      </c>
      <c r="B56" s="79">
        <v>34</v>
      </c>
      <c r="C56" s="16" t="str">
        <f t="shared" si="9"/>
        <v>Mon</v>
      </c>
      <c r="D56" s="12">
        <v>44704</v>
      </c>
      <c r="E56">
        <f t="shared" si="24"/>
        <v>92</v>
      </c>
      <c r="F56" s="61">
        <f t="shared" si="14"/>
        <v>168</v>
      </c>
      <c r="G56" s="61">
        <f t="shared" si="27"/>
        <v>37</v>
      </c>
      <c r="H56" s="61">
        <f t="shared" si="15"/>
        <v>34</v>
      </c>
      <c r="I56" s="61">
        <f t="shared" si="16"/>
        <v>2</v>
      </c>
      <c r="J56" s="61">
        <f t="shared" si="17"/>
        <v>0</v>
      </c>
      <c r="K56" s="11">
        <f t="shared" si="18"/>
        <v>0.54761904761904767</v>
      </c>
      <c r="L56" s="11">
        <f t="shared" si="19"/>
        <v>0.13303279743014662</v>
      </c>
      <c r="M56" s="11">
        <f t="shared" si="20"/>
        <v>0.32738095238095238</v>
      </c>
      <c r="N56" s="11">
        <f t="shared" si="21"/>
        <v>0.2478504756564078</v>
      </c>
      <c r="O56" s="11">
        <f t="shared" si="22"/>
        <v>0</v>
      </c>
      <c r="P56" s="11">
        <f t="shared" si="11"/>
        <v>0</v>
      </c>
      <c r="Q56" s="11">
        <f t="shared" si="23"/>
        <v>0.38088327308655445</v>
      </c>
      <c r="R56" s="20">
        <f t="shared" si="12"/>
        <v>0.99999999999999989</v>
      </c>
      <c r="S56" s="56">
        <v>131.96940581668827</v>
      </c>
      <c r="T56" s="56">
        <v>104.97771832300582</v>
      </c>
      <c r="U56" s="56">
        <v>128.7480038490024</v>
      </c>
      <c r="V56" s="20">
        <f t="shared" si="25"/>
        <v>114.4052252480182</v>
      </c>
      <c r="W56" s="20">
        <f>AVERAGE(V51:V55)</f>
        <v>122.11583598098841</v>
      </c>
      <c r="X56" s="36"/>
      <c r="Y56" s="26"/>
      <c r="Z56" s="26"/>
      <c r="AA56" s="26"/>
      <c r="AB56" s="36"/>
      <c r="AC56" s="29"/>
      <c r="AD56" s="29"/>
      <c r="AE56" s="29"/>
      <c r="AF56" s="29"/>
      <c r="AG56" s="29"/>
      <c r="AH56" s="29"/>
      <c r="AI56" s="26"/>
      <c r="AJ56" s="26"/>
      <c r="AK56" s="26"/>
      <c r="AL56" s="26"/>
      <c r="AM56" s="26"/>
      <c r="AN56" s="26"/>
      <c r="AW56" s="5"/>
    </row>
    <row r="57" spans="1:49" x14ac:dyDescent="0.35">
      <c r="A57" s="79">
        <v>1</v>
      </c>
      <c r="B57" s="79">
        <v>35</v>
      </c>
      <c r="C57" s="16" t="str">
        <f t="shared" si="9"/>
        <v>Tue</v>
      </c>
      <c r="D57" s="12">
        <v>44705</v>
      </c>
      <c r="E57">
        <f t="shared" si="24"/>
        <v>91</v>
      </c>
      <c r="F57" s="61">
        <f t="shared" si="14"/>
        <v>168</v>
      </c>
      <c r="G57" s="61">
        <f t="shared" si="27"/>
        <v>37</v>
      </c>
      <c r="H57" s="61">
        <f t="shared" si="15"/>
        <v>35</v>
      </c>
      <c r="I57" s="61">
        <f t="shared" si="16"/>
        <v>3</v>
      </c>
      <c r="J57" s="61">
        <f t="shared" si="17"/>
        <v>0</v>
      </c>
      <c r="K57" s="11">
        <f t="shared" si="18"/>
        <v>0.54166666666666663</v>
      </c>
      <c r="L57" s="11">
        <f t="shared" si="19"/>
        <v>0.1315867887624276</v>
      </c>
      <c r="M57" s="11">
        <f t="shared" si="20"/>
        <v>0.33333333333333331</v>
      </c>
      <c r="N57" s="11">
        <f t="shared" si="21"/>
        <v>0.25235684794106972</v>
      </c>
      <c r="O57" s="11">
        <f t="shared" si="22"/>
        <v>0</v>
      </c>
      <c r="P57" s="11">
        <f t="shared" si="11"/>
        <v>0</v>
      </c>
      <c r="Q57" s="11">
        <f t="shared" si="23"/>
        <v>0.38394363670349729</v>
      </c>
      <c r="R57" s="20">
        <f t="shared" si="12"/>
        <v>1</v>
      </c>
      <c r="S57" s="56">
        <v>129.33001770035449</v>
      </c>
      <c r="T57" s="56">
        <v>102.87816395654571</v>
      </c>
      <c r="U57" s="56">
        <v>126.17304377202235</v>
      </c>
      <c r="V57" s="20">
        <f t="shared" si="25"/>
        <v>111.94385526698458</v>
      </c>
      <c r="W57" s="20">
        <f>W56</f>
        <v>122.11583598098841</v>
      </c>
      <c r="X57" s="36"/>
      <c r="Y57" s="26"/>
      <c r="Z57" s="26"/>
      <c r="AA57" s="26"/>
      <c r="AB57" s="36"/>
      <c r="AC57" s="29"/>
      <c r="AD57" s="29"/>
      <c r="AE57" s="29"/>
      <c r="AF57" s="29"/>
      <c r="AG57" s="29"/>
      <c r="AH57" s="29"/>
      <c r="AI57" s="26"/>
      <c r="AJ57" s="26"/>
      <c r="AK57" s="26"/>
      <c r="AL57" s="26"/>
      <c r="AM57" s="26"/>
      <c r="AN57" s="26"/>
      <c r="AW57" s="5"/>
    </row>
    <row r="58" spans="1:49" x14ac:dyDescent="0.35">
      <c r="A58" s="79">
        <v>1</v>
      </c>
      <c r="B58" s="79">
        <v>36</v>
      </c>
      <c r="C58" s="16" t="str">
        <f t="shared" si="9"/>
        <v>Wed</v>
      </c>
      <c r="D58" s="12">
        <v>44706</v>
      </c>
      <c r="E58">
        <f t="shared" si="24"/>
        <v>90</v>
      </c>
      <c r="F58" s="61">
        <f t="shared" si="14"/>
        <v>168</v>
      </c>
      <c r="G58" s="61">
        <f t="shared" si="27"/>
        <v>37</v>
      </c>
      <c r="H58" s="61">
        <f t="shared" si="15"/>
        <v>36</v>
      </c>
      <c r="I58" s="61">
        <f t="shared" si="16"/>
        <v>4</v>
      </c>
      <c r="J58" s="61">
        <f t="shared" si="17"/>
        <v>0</v>
      </c>
      <c r="K58" s="11">
        <f t="shared" si="18"/>
        <v>0.5357142857142857</v>
      </c>
      <c r="L58" s="11">
        <f t="shared" si="19"/>
        <v>0.13014078009470864</v>
      </c>
      <c r="M58" s="11">
        <f t="shared" si="20"/>
        <v>0.3392857142857143</v>
      </c>
      <c r="N58" s="11">
        <f t="shared" si="21"/>
        <v>0.25686322022573171</v>
      </c>
      <c r="O58" s="11">
        <f t="shared" si="22"/>
        <v>0</v>
      </c>
      <c r="P58" s="11">
        <f t="shared" si="11"/>
        <v>0</v>
      </c>
      <c r="Q58" s="11">
        <f t="shared" si="23"/>
        <v>0.38700400032044036</v>
      </c>
      <c r="R58" s="20">
        <f t="shared" si="12"/>
        <v>1</v>
      </c>
      <c r="S58" s="56">
        <v>126.7434173463474</v>
      </c>
      <c r="T58" s="56">
        <v>100.82060067741479</v>
      </c>
      <c r="U58" s="56">
        <v>123.6495828965819</v>
      </c>
      <c r="V58" s="20">
        <f t="shared" si="25"/>
        <v>109.53786349835111</v>
      </c>
      <c r="W58" s="20">
        <f>W57</f>
        <v>122.11583598098841</v>
      </c>
      <c r="X58" s="36"/>
      <c r="Y58" s="26"/>
      <c r="Z58" s="26"/>
      <c r="AA58" s="26"/>
      <c r="AB58" s="36"/>
      <c r="AC58" s="29"/>
      <c r="AD58" s="29"/>
      <c r="AE58" s="29"/>
      <c r="AF58" s="29"/>
      <c r="AG58" s="29"/>
      <c r="AH58" s="29"/>
      <c r="AI58" s="26"/>
      <c r="AJ58" s="26"/>
      <c r="AK58" s="26"/>
      <c r="AL58" s="26"/>
      <c r="AM58" s="26"/>
      <c r="AN58" s="26"/>
      <c r="AW58" s="5"/>
    </row>
    <row r="59" spans="1:49" x14ac:dyDescent="0.35">
      <c r="A59" s="79">
        <v>1</v>
      </c>
      <c r="B59" s="79">
        <v>37</v>
      </c>
      <c r="C59" s="16" t="str">
        <f t="shared" si="9"/>
        <v>Thu</v>
      </c>
      <c r="D59" s="12">
        <v>44707</v>
      </c>
      <c r="E59">
        <f t="shared" si="24"/>
        <v>89</v>
      </c>
      <c r="F59" s="61">
        <f t="shared" si="14"/>
        <v>168</v>
      </c>
      <c r="G59" s="61">
        <f t="shared" si="27"/>
        <v>37</v>
      </c>
      <c r="H59" s="61">
        <f t="shared" si="15"/>
        <v>37</v>
      </c>
      <c r="I59" s="61">
        <f t="shared" si="16"/>
        <v>5</v>
      </c>
      <c r="J59" s="61">
        <f t="shared" si="17"/>
        <v>0</v>
      </c>
      <c r="K59" s="11">
        <f t="shared" si="18"/>
        <v>0.52976190476190477</v>
      </c>
      <c r="L59" s="11">
        <f t="shared" si="19"/>
        <v>0.12869477142698965</v>
      </c>
      <c r="M59" s="11">
        <f t="shared" si="20"/>
        <v>0.34523809523809523</v>
      </c>
      <c r="N59" s="11">
        <f t="shared" si="21"/>
        <v>0.26136959251039366</v>
      </c>
      <c r="O59" s="11">
        <f t="shared" si="22"/>
        <v>0</v>
      </c>
      <c r="P59" s="11">
        <f t="shared" si="11"/>
        <v>0</v>
      </c>
      <c r="Q59" s="11">
        <f t="shared" si="23"/>
        <v>0.39006436393738331</v>
      </c>
      <c r="R59" s="20">
        <f t="shared" si="12"/>
        <v>1</v>
      </c>
      <c r="S59" s="56">
        <v>124.20854899942046</v>
      </c>
      <c r="T59" s="56">
        <v>98.804188663866498</v>
      </c>
      <c r="U59" s="56">
        <v>121.17659123865026</v>
      </c>
      <c r="V59" s="20">
        <f t="shared" si="25"/>
        <v>107.18590370604818</v>
      </c>
      <c r="W59" s="20">
        <f>W58</f>
        <v>122.11583598098841</v>
      </c>
      <c r="X59" s="36"/>
      <c r="Y59" s="26"/>
      <c r="Z59" s="26"/>
      <c r="AA59" s="26"/>
      <c r="AB59" s="36"/>
      <c r="AC59" s="29"/>
      <c r="AD59" s="29"/>
      <c r="AE59" s="29"/>
      <c r="AF59" s="29"/>
      <c r="AG59" s="29"/>
      <c r="AH59" s="29"/>
      <c r="AI59" s="26"/>
      <c r="AJ59" s="26"/>
      <c r="AK59" s="26"/>
      <c r="AL59" s="26"/>
      <c r="AM59" s="26"/>
      <c r="AN59" s="26"/>
      <c r="AW59" s="5"/>
    </row>
    <row r="60" spans="1:49" x14ac:dyDescent="0.35">
      <c r="A60" s="79">
        <v>1</v>
      </c>
      <c r="B60" s="79">
        <v>38</v>
      </c>
      <c r="C60" s="16" t="str">
        <f t="shared" si="9"/>
        <v>Fri</v>
      </c>
      <c r="D60" s="12">
        <v>44708</v>
      </c>
      <c r="E60">
        <f t="shared" si="24"/>
        <v>88</v>
      </c>
      <c r="F60" s="61">
        <f t="shared" si="14"/>
        <v>168</v>
      </c>
      <c r="G60" s="61">
        <f t="shared" si="27"/>
        <v>37</v>
      </c>
      <c r="H60" s="61">
        <f t="shared" si="15"/>
        <v>38</v>
      </c>
      <c r="I60" s="61">
        <f t="shared" si="16"/>
        <v>6</v>
      </c>
      <c r="J60" s="61">
        <f t="shared" si="17"/>
        <v>0</v>
      </c>
      <c r="K60" s="11">
        <f t="shared" si="18"/>
        <v>0.52380952380952384</v>
      </c>
      <c r="L60" s="11">
        <f t="shared" si="19"/>
        <v>0.12724876275927069</v>
      </c>
      <c r="M60" s="11">
        <f t="shared" si="20"/>
        <v>0.35119047619047616</v>
      </c>
      <c r="N60" s="11">
        <f t="shared" si="21"/>
        <v>0.2658759647950556</v>
      </c>
      <c r="O60" s="11">
        <f t="shared" si="22"/>
        <v>0</v>
      </c>
      <c r="P60" s="11">
        <f t="shared" si="11"/>
        <v>0</v>
      </c>
      <c r="Q60" s="11">
        <f t="shared" si="23"/>
        <v>0.39312472755432626</v>
      </c>
      <c r="R60" s="20">
        <f t="shared" si="12"/>
        <v>1</v>
      </c>
      <c r="S60" s="56">
        <v>121.72437801943205</v>
      </c>
      <c r="T60" s="56">
        <v>96.828104890589174</v>
      </c>
      <c r="U60" s="56">
        <v>118.75305941387725</v>
      </c>
      <c r="V60" s="20">
        <f t="shared" si="25"/>
        <v>104.88666679451912</v>
      </c>
      <c r="W60" s="20">
        <f>W59</f>
        <v>122.11583598098841</v>
      </c>
      <c r="X60" s="36"/>
      <c r="Y60" s="26"/>
      <c r="Z60" s="26"/>
      <c r="AA60" s="26"/>
      <c r="AB60" s="36"/>
      <c r="AC60" s="29"/>
      <c r="AD60" s="29"/>
      <c r="AE60" s="29"/>
      <c r="AF60" s="29"/>
      <c r="AG60" s="29"/>
      <c r="AH60" s="29"/>
      <c r="AI60" s="26"/>
      <c r="AJ60" s="26"/>
      <c r="AK60" s="26"/>
      <c r="AL60" s="26"/>
      <c r="AM60" s="26"/>
      <c r="AN60" s="26"/>
      <c r="AW60" s="5"/>
    </row>
    <row r="61" spans="1:49" x14ac:dyDescent="0.35">
      <c r="A61" s="79">
        <v>1</v>
      </c>
      <c r="B61" s="79">
        <v>39</v>
      </c>
      <c r="C61" s="16" t="str">
        <f t="shared" si="9"/>
        <v>Mon</v>
      </c>
      <c r="D61" s="12">
        <v>44711</v>
      </c>
      <c r="E61">
        <f t="shared" si="24"/>
        <v>87</v>
      </c>
      <c r="F61" s="61">
        <f t="shared" si="14"/>
        <v>168</v>
      </c>
      <c r="G61" s="61">
        <f t="shared" si="27"/>
        <v>37</v>
      </c>
      <c r="H61" s="61">
        <f t="shared" si="15"/>
        <v>39</v>
      </c>
      <c r="I61" s="61">
        <f t="shared" si="16"/>
        <v>7</v>
      </c>
      <c r="J61" s="61">
        <f t="shared" si="17"/>
        <v>0</v>
      </c>
      <c r="K61" s="11">
        <f t="shared" si="18"/>
        <v>0.5178571428571429</v>
      </c>
      <c r="L61" s="11">
        <f t="shared" si="19"/>
        <v>0.1258027540915517</v>
      </c>
      <c r="M61" s="11">
        <f t="shared" si="20"/>
        <v>0.35714285714285715</v>
      </c>
      <c r="N61" s="11">
        <f t="shared" si="21"/>
        <v>0.27038233707971759</v>
      </c>
      <c r="O61" s="11">
        <f t="shared" si="22"/>
        <v>0</v>
      </c>
      <c r="P61" s="11">
        <f t="shared" si="11"/>
        <v>0</v>
      </c>
      <c r="Q61" s="11">
        <f t="shared" si="23"/>
        <v>0.39618509117126932</v>
      </c>
      <c r="R61" s="20">
        <f t="shared" si="12"/>
        <v>1</v>
      </c>
      <c r="S61" s="56">
        <v>119.28989045904341</v>
      </c>
      <c r="T61" s="56">
        <v>94.891542792777386</v>
      </c>
      <c r="U61" s="56">
        <v>116.37799822559971</v>
      </c>
      <c r="V61" s="20">
        <f t="shared" si="25"/>
        <v>102.63887958080551</v>
      </c>
      <c r="W61" s="20">
        <f>AVERAGE(V56:V60)</f>
        <v>109.59190290278426</v>
      </c>
      <c r="X61" s="36"/>
      <c r="Y61" s="26"/>
      <c r="Z61" s="26"/>
      <c r="AA61" s="26"/>
      <c r="AB61" s="36"/>
      <c r="AC61" s="29"/>
      <c r="AD61" s="29"/>
      <c r="AE61" s="29"/>
      <c r="AF61" s="29"/>
      <c r="AG61" s="29"/>
      <c r="AH61" s="29"/>
      <c r="AI61" s="26"/>
      <c r="AJ61" s="26"/>
      <c r="AK61" s="26"/>
      <c r="AL61" s="26"/>
      <c r="AM61" s="26"/>
      <c r="AN61" s="26"/>
      <c r="AW61" s="5"/>
    </row>
    <row r="62" spans="1:49" x14ac:dyDescent="0.35">
      <c r="A62" s="79">
        <v>1</v>
      </c>
      <c r="B62" s="79">
        <v>40</v>
      </c>
      <c r="C62" s="16" t="str">
        <f t="shared" si="9"/>
        <v>Tue</v>
      </c>
      <c r="D62" s="12">
        <v>44712</v>
      </c>
      <c r="E62">
        <f t="shared" si="24"/>
        <v>86</v>
      </c>
      <c r="F62" s="61">
        <f t="shared" si="14"/>
        <v>168</v>
      </c>
      <c r="G62" s="61">
        <f t="shared" si="27"/>
        <v>37</v>
      </c>
      <c r="H62" s="61">
        <f t="shared" si="15"/>
        <v>40</v>
      </c>
      <c r="I62" s="61">
        <f t="shared" si="16"/>
        <v>8</v>
      </c>
      <c r="J62" s="61">
        <f t="shared" si="17"/>
        <v>0</v>
      </c>
      <c r="K62" s="11">
        <f t="shared" si="18"/>
        <v>0.51190476190476186</v>
      </c>
      <c r="L62" s="11">
        <f t="shared" si="19"/>
        <v>0.1243567454238327</v>
      </c>
      <c r="M62" s="11">
        <f t="shared" si="20"/>
        <v>0.36309523809523808</v>
      </c>
      <c r="N62" s="11">
        <f t="shared" si="21"/>
        <v>0.27488870936437954</v>
      </c>
      <c r="O62" s="11">
        <f t="shared" si="22"/>
        <v>0</v>
      </c>
      <c r="P62" s="11">
        <f t="shared" si="11"/>
        <v>0</v>
      </c>
      <c r="Q62" s="11">
        <f t="shared" si="23"/>
        <v>0.39924545478821222</v>
      </c>
      <c r="R62" s="20">
        <f t="shared" si="12"/>
        <v>1</v>
      </c>
      <c r="S62" s="56">
        <v>116.90409264986253</v>
      </c>
      <c r="T62" s="56">
        <v>92.993711936921841</v>
      </c>
      <c r="U62" s="56">
        <v>114.05043826108772</v>
      </c>
      <c r="V62" s="20">
        <f t="shared" si="25"/>
        <v>100.44130361679053</v>
      </c>
      <c r="W62" s="20">
        <f t="shared" ref="W62:W63" si="28">W61</f>
        <v>109.59190290278426</v>
      </c>
      <c r="X62" s="36"/>
      <c r="Y62" s="26"/>
      <c r="Z62" s="26"/>
      <c r="AA62" s="26"/>
      <c r="AB62" s="36"/>
      <c r="AC62" s="29"/>
      <c r="AD62" s="29"/>
      <c r="AE62" s="29"/>
      <c r="AF62" s="29"/>
      <c r="AG62" s="29"/>
      <c r="AH62" s="29"/>
      <c r="AI62" s="26"/>
      <c r="AJ62" s="26"/>
      <c r="AK62" s="26"/>
      <c r="AL62" s="26"/>
      <c r="AM62" s="26"/>
      <c r="AN62" s="26"/>
      <c r="AW62" s="5"/>
    </row>
    <row r="63" spans="1:49" x14ac:dyDescent="0.35">
      <c r="A63" s="79">
        <v>1</v>
      </c>
      <c r="B63" s="79">
        <v>41</v>
      </c>
      <c r="C63" s="16" t="str">
        <f t="shared" si="9"/>
        <v>Wed</v>
      </c>
      <c r="D63" s="12">
        <v>44713</v>
      </c>
      <c r="E63">
        <f t="shared" si="24"/>
        <v>85</v>
      </c>
      <c r="F63" s="61">
        <f t="shared" si="14"/>
        <v>168</v>
      </c>
      <c r="G63" s="61">
        <f t="shared" si="27"/>
        <v>37</v>
      </c>
      <c r="H63" s="61">
        <f t="shared" si="15"/>
        <v>41</v>
      </c>
      <c r="I63" s="61">
        <f t="shared" si="16"/>
        <v>9</v>
      </c>
      <c r="J63" s="61">
        <f t="shared" si="17"/>
        <v>0</v>
      </c>
      <c r="K63" s="11">
        <f t="shared" si="18"/>
        <v>0.50595238095238093</v>
      </c>
      <c r="L63" s="11">
        <f t="shared" si="19"/>
        <v>0.12291073675611371</v>
      </c>
      <c r="M63" s="11">
        <f t="shared" si="20"/>
        <v>0.36904761904761907</v>
      </c>
      <c r="N63" s="11">
        <f t="shared" si="21"/>
        <v>0.27939508164904153</v>
      </c>
      <c r="O63" s="11">
        <f t="shared" si="22"/>
        <v>0</v>
      </c>
      <c r="P63" s="11">
        <f t="shared" si="11"/>
        <v>0</v>
      </c>
      <c r="Q63" s="11">
        <f t="shared" si="23"/>
        <v>0.40230581840515522</v>
      </c>
      <c r="R63" s="20">
        <f t="shared" si="12"/>
        <v>1</v>
      </c>
      <c r="S63" s="56">
        <v>114.56601079686529</v>
      </c>
      <c r="T63" s="56">
        <v>91.133837698183399</v>
      </c>
      <c r="U63" s="56">
        <v>111.76942949586596</v>
      </c>
      <c r="V63" s="20">
        <f t="shared" si="25"/>
        <v>98.292734059098848</v>
      </c>
      <c r="W63" s="20">
        <f t="shared" si="28"/>
        <v>109.59190290278426</v>
      </c>
      <c r="X63" s="36"/>
      <c r="Y63" s="26"/>
      <c r="Z63" s="26"/>
      <c r="AA63" s="26"/>
      <c r="AB63" s="36"/>
      <c r="AC63" s="29"/>
      <c r="AD63" s="29"/>
      <c r="AE63" s="29"/>
      <c r="AF63" s="29"/>
      <c r="AG63" s="29"/>
      <c r="AH63" s="29"/>
      <c r="AI63" s="26"/>
      <c r="AJ63" s="26"/>
      <c r="AK63" s="26"/>
      <c r="AL63" s="26"/>
      <c r="AM63" s="26"/>
      <c r="AN63" s="26"/>
      <c r="AW63" s="5"/>
    </row>
    <row r="64" spans="1:49" x14ac:dyDescent="0.35">
      <c r="A64" s="79">
        <v>1</v>
      </c>
      <c r="B64" s="79">
        <v>42</v>
      </c>
      <c r="C64" s="16" t="str">
        <f t="shared" si="9"/>
        <v>Mon</v>
      </c>
      <c r="D64" s="12">
        <v>44718</v>
      </c>
      <c r="E64">
        <f t="shared" si="24"/>
        <v>84</v>
      </c>
      <c r="F64" s="61">
        <f t="shared" si="14"/>
        <v>168</v>
      </c>
      <c r="G64" s="61">
        <f t="shared" si="27"/>
        <v>37</v>
      </c>
      <c r="H64" s="61">
        <f t="shared" si="15"/>
        <v>42</v>
      </c>
      <c r="I64" s="61">
        <f t="shared" si="16"/>
        <v>10</v>
      </c>
      <c r="J64" s="61">
        <f t="shared" si="17"/>
        <v>0</v>
      </c>
      <c r="K64" s="11">
        <f t="shared" si="18"/>
        <v>0.5</v>
      </c>
      <c r="L64" s="11">
        <f t="shared" si="19"/>
        <v>0.12146472808839473</v>
      </c>
      <c r="M64" s="11">
        <f t="shared" si="20"/>
        <v>0.375</v>
      </c>
      <c r="N64" s="11">
        <f t="shared" si="21"/>
        <v>0.28390145393370347</v>
      </c>
      <c r="O64" s="11">
        <f t="shared" si="22"/>
        <v>0</v>
      </c>
      <c r="P64" s="11">
        <f t="shared" si="11"/>
        <v>0</v>
      </c>
      <c r="Q64" s="11">
        <f t="shared" si="23"/>
        <v>0.40536618202209818</v>
      </c>
      <c r="R64" s="20">
        <f t="shared" si="12"/>
        <v>1</v>
      </c>
      <c r="S64" s="56">
        <v>112.27469058092798</v>
      </c>
      <c r="T64" s="56">
        <v>89.311160944219736</v>
      </c>
      <c r="U64" s="56">
        <v>109.53404090594864</v>
      </c>
      <c r="V64" s="20">
        <f t="shared" si="25"/>
        <v>96.191998584298233</v>
      </c>
      <c r="W64" s="20">
        <f>AVERAGE(V61:V63)</f>
        <v>100.45763908556496</v>
      </c>
      <c r="X64" s="36"/>
      <c r="Y64" s="26"/>
      <c r="Z64" s="26"/>
      <c r="AA64" s="26"/>
      <c r="AB64" s="36"/>
      <c r="AC64" s="29"/>
      <c r="AD64" s="29"/>
      <c r="AE64" s="29"/>
      <c r="AF64" s="29"/>
      <c r="AG64" s="29"/>
      <c r="AH64" s="29"/>
      <c r="AI64" s="26"/>
      <c r="AJ64" s="26"/>
      <c r="AK64" s="26"/>
      <c r="AL64" s="26"/>
      <c r="AM64" s="26"/>
      <c r="AN64" s="26"/>
      <c r="AW64" s="5"/>
    </row>
    <row r="65" spans="1:49" x14ac:dyDescent="0.35">
      <c r="A65" s="79">
        <v>1</v>
      </c>
      <c r="B65" s="79">
        <v>43</v>
      </c>
      <c r="C65" s="16" t="str">
        <f t="shared" si="9"/>
        <v>Tue</v>
      </c>
      <c r="D65" s="12">
        <v>44719</v>
      </c>
      <c r="E65">
        <f t="shared" si="24"/>
        <v>83</v>
      </c>
      <c r="F65" s="61">
        <f t="shared" si="14"/>
        <v>168</v>
      </c>
      <c r="G65" s="61">
        <f t="shared" si="27"/>
        <v>37</v>
      </c>
      <c r="H65" s="61">
        <f t="shared" si="15"/>
        <v>43</v>
      </c>
      <c r="I65" s="61">
        <f t="shared" si="16"/>
        <v>11</v>
      </c>
      <c r="J65" s="61">
        <f t="shared" si="17"/>
        <v>0</v>
      </c>
      <c r="K65" s="11">
        <f t="shared" si="18"/>
        <v>0.49404761904761907</v>
      </c>
      <c r="L65" s="11">
        <f t="shared" si="19"/>
        <v>0.12001871942067575</v>
      </c>
      <c r="M65" s="11">
        <f t="shared" si="20"/>
        <v>0.38095238095238093</v>
      </c>
      <c r="N65" s="11">
        <f t="shared" si="21"/>
        <v>0.28840782621836542</v>
      </c>
      <c r="O65" s="11">
        <f t="shared" si="22"/>
        <v>0</v>
      </c>
      <c r="P65" s="11">
        <f t="shared" si="11"/>
        <v>0</v>
      </c>
      <c r="Q65" s="11">
        <f t="shared" si="23"/>
        <v>0.40842654563904118</v>
      </c>
      <c r="R65" s="20">
        <f t="shared" si="12"/>
        <v>1</v>
      </c>
      <c r="S65" s="56">
        <v>110.02919676930942</v>
      </c>
      <c r="T65" s="56">
        <v>87.524937725335349</v>
      </c>
      <c r="U65" s="56">
        <v>107.34336008782967</v>
      </c>
      <c r="V65" s="20">
        <f t="shared" si="25"/>
        <v>94.137956347185536</v>
      </c>
      <c r="W65" s="20">
        <f>W64</f>
        <v>100.45763908556496</v>
      </c>
      <c r="X65" s="36"/>
      <c r="Y65" s="26"/>
      <c r="Z65" s="26"/>
      <c r="AA65" s="26"/>
      <c r="AB65" s="36"/>
      <c r="AC65" s="29"/>
      <c r="AD65" s="29"/>
      <c r="AE65" s="29"/>
      <c r="AF65" s="29"/>
      <c r="AG65" s="29"/>
      <c r="AH65" s="29"/>
      <c r="AI65" s="26"/>
      <c r="AJ65" s="26"/>
      <c r="AK65" s="26"/>
      <c r="AL65" s="26"/>
      <c r="AM65" s="26"/>
      <c r="AN65" s="26"/>
      <c r="AW65" s="5"/>
    </row>
    <row r="66" spans="1:49" x14ac:dyDescent="0.35">
      <c r="A66" s="79">
        <v>1</v>
      </c>
      <c r="B66" s="79">
        <v>44</v>
      </c>
      <c r="C66" s="16" t="str">
        <f t="shared" si="9"/>
        <v>Wed</v>
      </c>
      <c r="D66" s="12">
        <v>44720</v>
      </c>
      <c r="E66">
        <f t="shared" si="24"/>
        <v>82</v>
      </c>
      <c r="F66" s="61">
        <f t="shared" si="14"/>
        <v>168</v>
      </c>
      <c r="G66" s="61">
        <f t="shared" si="27"/>
        <v>37</v>
      </c>
      <c r="H66" s="61">
        <f t="shared" si="15"/>
        <v>44</v>
      </c>
      <c r="I66" s="61">
        <f t="shared" si="16"/>
        <v>12</v>
      </c>
      <c r="J66" s="61">
        <f t="shared" si="17"/>
        <v>0</v>
      </c>
      <c r="K66" s="11">
        <f t="shared" si="18"/>
        <v>0.48809523809523808</v>
      </c>
      <c r="L66" s="11">
        <f t="shared" si="19"/>
        <v>0.11857271075295675</v>
      </c>
      <c r="M66" s="11">
        <f t="shared" si="20"/>
        <v>0.38690476190476192</v>
      </c>
      <c r="N66" s="11">
        <f t="shared" si="21"/>
        <v>0.29291419850302741</v>
      </c>
      <c r="O66" s="11">
        <f t="shared" si="22"/>
        <v>0</v>
      </c>
      <c r="P66" s="11">
        <f t="shared" si="11"/>
        <v>0</v>
      </c>
      <c r="Q66" s="11">
        <f t="shared" si="23"/>
        <v>0.41148690925598419</v>
      </c>
      <c r="R66" s="20">
        <f t="shared" si="12"/>
        <v>1</v>
      </c>
      <c r="S66" s="56">
        <v>107.82861283392323</v>
      </c>
      <c r="T66" s="56">
        <v>85.774438970828641</v>
      </c>
      <c r="U66" s="56">
        <v>105.19649288607307</v>
      </c>
      <c r="V66" s="20">
        <f t="shared" si="25"/>
        <v>92.129496980067373</v>
      </c>
      <c r="W66" s="20">
        <f t="shared" ref="W66:W68" si="29">W65</f>
        <v>100.45763908556496</v>
      </c>
      <c r="X66" s="36"/>
      <c r="Y66" s="26"/>
      <c r="Z66" s="26"/>
      <c r="AA66" s="26"/>
      <c r="AB66" s="36"/>
      <c r="AC66" s="29"/>
      <c r="AD66" s="29"/>
      <c r="AE66" s="29"/>
      <c r="AF66" s="29"/>
      <c r="AG66" s="29"/>
      <c r="AH66" s="29"/>
      <c r="AI66" s="26"/>
      <c r="AJ66" s="26"/>
      <c r="AK66" s="26"/>
      <c r="AL66" s="26"/>
      <c r="AM66" s="26"/>
      <c r="AN66" s="26"/>
      <c r="AW66" s="5"/>
    </row>
    <row r="67" spans="1:49" x14ac:dyDescent="0.35">
      <c r="A67" s="79">
        <v>1</v>
      </c>
      <c r="B67" s="79">
        <v>45</v>
      </c>
      <c r="C67" s="16" t="str">
        <f t="shared" si="9"/>
        <v>Thu</v>
      </c>
      <c r="D67" s="12">
        <v>44721</v>
      </c>
      <c r="E67">
        <f t="shared" si="24"/>
        <v>81</v>
      </c>
      <c r="F67" s="61">
        <f t="shared" si="14"/>
        <v>168</v>
      </c>
      <c r="G67" s="61">
        <f t="shared" si="27"/>
        <v>37</v>
      </c>
      <c r="H67" s="61">
        <f t="shared" si="15"/>
        <v>45</v>
      </c>
      <c r="I67" s="61">
        <f t="shared" si="16"/>
        <v>13</v>
      </c>
      <c r="J67" s="61">
        <f t="shared" si="17"/>
        <v>0</v>
      </c>
      <c r="K67" s="11">
        <f t="shared" si="18"/>
        <v>0.48214285714285715</v>
      </c>
      <c r="L67" s="11">
        <f t="shared" si="19"/>
        <v>0.11712670208523777</v>
      </c>
      <c r="M67" s="11">
        <f t="shared" si="20"/>
        <v>0.39285714285714285</v>
      </c>
      <c r="N67" s="11">
        <f t="shared" si="21"/>
        <v>0.29742057078768935</v>
      </c>
      <c r="O67" s="11">
        <f t="shared" si="22"/>
        <v>0</v>
      </c>
      <c r="P67" s="11">
        <f t="shared" si="11"/>
        <v>0</v>
      </c>
      <c r="Q67" s="11">
        <f t="shared" si="23"/>
        <v>0.41454727287292714</v>
      </c>
      <c r="R67" s="20">
        <f t="shared" si="12"/>
        <v>1</v>
      </c>
      <c r="S67" s="56">
        <v>105.67204057724477</v>
      </c>
      <c r="T67" s="56">
        <v>84.058950191412066</v>
      </c>
      <c r="U67" s="56">
        <v>103.09256302835161</v>
      </c>
      <c r="V67" s="20">
        <f t="shared" si="25"/>
        <v>90.165539631065002</v>
      </c>
      <c r="W67" s="20">
        <f t="shared" si="29"/>
        <v>100.45763908556496</v>
      </c>
      <c r="X67" s="36"/>
      <c r="Y67" s="26"/>
      <c r="Z67" s="26"/>
      <c r="AA67" s="26"/>
      <c r="AB67" s="36"/>
      <c r="AC67" s="29"/>
      <c r="AD67" s="29"/>
      <c r="AE67" s="29"/>
      <c r="AF67" s="29"/>
      <c r="AG67" s="29"/>
      <c r="AH67" s="29"/>
      <c r="AI67" s="26"/>
      <c r="AJ67" s="26"/>
      <c r="AK67" s="26"/>
      <c r="AL67" s="26"/>
      <c r="AM67" s="26"/>
      <c r="AN67" s="26"/>
      <c r="AW67" s="5"/>
    </row>
    <row r="68" spans="1:49" x14ac:dyDescent="0.35">
      <c r="A68" s="79">
        <v>1</v>
      </c>
      <c r="B68" s="79">
        <v>46</v>
      </c>
      <c r="C68" s="16" t="str">
        <f t="shared" si="9"/>
        <v>Fri</v>
      </c>
      <c r="D68" s="12">
        <v>44722</v>
      </c>
      <c r="E68">
        <f t="shared" si="24"/>
        <v>80</v>
      </c>
      <c r="F68" s="61">
        <f t="shared" si="14"/>
        <v>168</v>
      </c>
      <c r="G68" s="61">
        <f t="shared" si="27"/>
        <v>37</v>
      </c>
      <c r="H68" s="61">
        <f t="shared" si="15"/>
        <v>46</v>
      </c>
      <c r="I68" s="61">
        <f t="shared" si="16"/>
        <v>14</v>
      </c>
      <c r="J68" s="61">
        <f t="shared" si="17"/>
        <v>0</v>
      </c>
      <c r="K68" s="11">
        <f t="shared" si="18"/>
        <v>0.47619047619047616</v>
      </c>
      <c r="L68" s="11">
        <f t="shared" si="19"/>
        <v>0.11568069341751878</v>
      </c>
      <c r="M68" s="11">
        <f t="shared" si="20"/>
        <v>0.39880952380952384</v>
      </c>
      <c r="N68" s="11">
        <f t="shared" si="21"/>
        <v>0.30192694307235135</v>
      </c>
      <c r="O68" s="11">
        <f t="shared" si="22"/>
        <v>0</v>
      </c>
      <c r="P68" s="11">
        <f t="shared" si="11"/>
        <v>0</v>
      </c>
      <c r="Q68" s="11">
        <f t="shared" si="23"/>
        <v>0.41760763648987015</v>
      </c>
      <c r="R68" s="20">
        <f t="shared" si="12"/>
        <v>1</v>
      </c>
      <c r="S68" s="56">
        <v>103.55859976569988</v>
      </c>
      <c r="T68" s="56">
        <v>82.377771187583818</v>
      </c>
      <c r="U68" s="56">
        <v>101.03071176778457</v>
      </c>
      <c r="V68" s="20">
        <f t="shared" si="25"/>
        <v>88.245032039585737</v>
      </c>
      <c r="W68" s="20">
        <f t="shared" si="29"/>
        <v>100.45763908556496</v>
      </c>
      <c r="X68" s="36"/>
      <c r="Y68" s="26"/>
      <c r="Z68" s="26"/>
      <c r="AA68" s="26"/>
      <c r="AB68" s="36"/>
      <c r="AC68" s="29"/>
      <c r="AD68" s="29"/>
      <c r="AE68" s="29"/>
      <c r="AF68" s="29"/>
      <c r="AG68" s="29"/>
      <c r="AH68" s="29"/>
      <c r="AI68" s="26"/>
      <c r="AJ68" s="26"/>
      <c r="AK68" s="26"/>
      <c r="AL68" s="26"/>
      <c r="AM68" s="26"/>
      <c r="AN68" s="26"/>
      <c r="AW68" s="5"/>
    </row>
    <row r="69" spans="1:49" x14ac:dyDescent="0.35">
      <c r="A69" s="79">
        <v>1</v>
      </c>
      <c r="B69" s="79">
        <v>47</v>
      </c>
      <c r="C69" s="16" t="str">
        <f t="shared" si="9"/>
        <v>Mon</v>
      </c>
      <c r="D69" s="12">
        <v>44725</v>
      </c>
      <c r="E69">
        <f t="shared" si="24"/>
        <v>79</v>
      </c>
      <c r="F69" s="61">
        <f t="shared" si="14"/>
        <v>168</v>
      </c>
      <c r="G69" s="61">
        <f t="shared" si="27"/>
        <v>37</v>
      </c>
      <c r="H69" s="61">
        <f t="shared" si="15"/>
        <v>47</v>
      </c>
      <c r="I69" s="61">
        <f t="shared" si="16"/>
        <v>15</v>
      </c>
      <c r="J69" s="61">
        <f t="shared" si="17"/>
        <v>0</v>
      </c>
      <c r="K69" s="11">
        <f t="shared" si="18"/>
        <v>0.47023809523809523</v>
      </c>
      <c r="L69" s="11">
        <f t="shared" si="19"/>
        <v>0.11423468474979981</v>
      </c>
      <c r="M69" s="11">
        <f t="shared" si="20"/>
        <v>0.40476190476190477</v>
      </c>
      <c r="N69" s="11">
        <f t="shared" si="21"/>
        <v>0.30643331535701329</v>
      </c>
      <c r="O69" s="11">
        <f t="shared" si="22"/>
        <v>0</v>
      </c>
      <c r="P69" s="11">
        <f t="shared" si="11"/>
        <v>0</v>
      </c>
      <c r="Q69" s="11">
        <f t="shared" si="23"/>
        <v>0.4206680001068131</v>
      </c>
      <c r="R69" s="20">
        <f t="shared" si="12"/>
        <v>1</v>
      </c>
      <c r="S69" s="56">
        <v>101.48742777038588</v>
      </c>
      <c r="T69" s="56">
        <v>80.730215763832135</v>
      </c>
      <c r="U69" s="56">
        <v>99.010097532428873</v>
      </c>
      <c r="V69" s="20">
        <f t="shared" si="25"/>
        <v>86.366949647206553</v>
      </c>
      <c r="W69" s="20">
        <f>AVERAGE(V64:V68)</f>
        <v>92.174004716440379</v>
      </c>
      <c r="X69" s="36"/>
      <c r="Y69" s="26"/>
      <c r="Z69" s="26"/>
      <c r="AA69" s="26"/>
      <c r="AB69" s="36"/>
      <c r="AC69" s="29"/>
      <c r="AD69" s="29"/>
      <c r="AE69" s="29"/>
      <c r="AF69" s="29"/>
      <c r="AG69" s="29"/>
      <c r="AH69" s="29"/>
      <c r="AI69" s="26"/>
      <c r="AJ69" s="26"/>
      <c r="AK69" s="26"/>
      <c r="AL69" s="26"/>
      <c r="AM69" s="26"/>
      <c r="AN69" s="26"/>
      <c r="AW69" s="5"/>
    </row>
    <row r="70" spans="1:49" x14ac:dyDescent="0.35">
      <c r="A70" s="79">
        <v>1</v>
      </c>
      <c r="B70" s="79">
        <v>48</v>
      </c>
      <c r="C70" s="16" t="str">
        <f t="shared" si="9"/>
        <v>Tue</v>
      </c>
      <c r="D70" s="12">
        <v>44726</v>
      </c>
      <c r="E70">
        <f t="shared" si="24"/>
        <v>78</v>
      </c>
      <c r="F70" s="61">
        <f t="shared" si="14"/>
        <v>168</v>
      </c>
      <c r="G70" s="61">
        <f t="shared" si="27"/>
        <v>37</v>
      </c>
      <c r="H70" s="61">
        <f t="shared" si="15"/>
        <v>48</v>
      </c>
      <c r="I70" s="61">
        <f t="shared" si="16"/>
        <v>16</v>
      </c>
      <c r="J70" s="61">
        <f t="shared" si="17"/>
        <v>0</v>
      </c>
      <c r="K70" s="11">
        <f t="shared" si="18"/>
        <v>0.4642857142857143</v>
      </c>
      <c r="L70" s="11">
        <f t="shared" si="19"/>
        <v>0.11278867608208082</v>
      </c>
      <c r="M70" s="11">
        <f t="shared" si="20"/>
        <v>0.4107142857142857</v>
      </c>
      <c r="N70" s="11">
        <f t="shared" si="21"/>
        <v>0.31093968764167523</v>
      </c>
      <c r="O70" s="11">
        <f t="shared" si="22"/>
        <v>0</v>
      </c>
      <c r="P70" s="11">
        <f t="shared" si="11"/>
        <v>0</v>
      </c>
      <c r="Q70" s="11">
        <f t="shared" si="23"/>
        <v>0.42372836372375605</v>
      </c>
      <c r="R70" s="20">
        <f t="shared" si="12"/>
        <v>1</v>
      </c>
      <c r="S70" s="56">
        <v>99.457679214978157</v>
      </c>
      <c r="T70" s="56">
        <v>79.115611448555498</v>
      </c>
      <c r="U70" s="56">
        <v>97.029895581780295</v>
      </c>
      <c r="V70" s="20">
        <f t="shared" si="25"/>
        <v>84.530294742314325</v>
      </c>
      <c r="W70" s="20">
        <f>W69</f>
        <v>92.174004716440379</v>
      </c>
      <c r="X70" s="36"/>
      <c r="Y70" s="26"/>
      <c r="Z70" s="26"/>
      <c r="AA70" s="26"/>
      <c r="AB70" s="36"/>
      <c r="AC70" s="29"/>
      <c r="AD70" s="29"/>
      <c r="AE70" s="29"/>
      <c r="AF70" s="29"/>
      <c r="AG70" s="29"/>
      <c r="AH70" s="29"/>
      <c r="AI70" s="26"/>
      <c r="AJ70" s="26"/>
      <c r="AK70" s="26"/>
      <c r="AL70" s="26"/>
      <c r="AM70" s="26"/>
      <c r="AN70" s="26"/>
      <c r="AW70" s="5"/>
    </row>
    <row r="71" spans="1:49" x14ac:dyDescent="0.35">
      <c r="A71" s="79">
        <v>1</v>
      </c>
      <c r="B71" s="79">
        <v>49</v>
      </c>
      <c r="C71" s="16" t="str">
        <f t="shared" si="9"/>
        <v>Wed</v>
      </c>
      <c r="D71" s="12">
        <v>44727</v>
      </c>
      <c r="E71">
        <f t="shared" si="24"/>
        <v>77</v>
      </c>
      <c r="F71" s="61">
        <f t="shared" si="14"/>
        <v>168</v>
      </c>
      <c r="G71" s="61">
        <f t="shared" si="27"/>
        <v>37</v>
      </c>
      <c r="H71" s="61">
        <f t="shared" si="15"/>
        <v>49</v>
      </c>
      <c r="I71" s="61">
        <f t="shared" si="16"/>
        <v>17</v>
      </c>
      <c r="J71" s="61">
        <f t="shared" si="17"/>
        <v>0</v>
      </c>
      <c r="K71" s="11">
        <f t="shared" si="18"/>
        <v>0.45833333333333331</v>
      </c>
      <c r="L71" s="11">
        <f t="shared" si="19"/>
        <v>0.11134266741436183</v>
      </c>
      <c r="M71" s="11">
        <f t="shared" si="20"/>
        <v>0.41666666666666669</v>
      </c>
      <c r="N71" s="11">
        <f t="shared" si="21"/>
        <v>0.31544605992633723</v>
      </c>
      <c r="O71" s="11">
        <f t="shared" si="22"/>
        <v>0</v>
      </c>
      <c r="P71" s="11">
        <f t="shared" si="11"/>
        <v>0</v>
      </c>
      <c r="Q71" s="11">
        <f t="shared" si="23"/>
        <v>0.42678872734069906</v>
      </c>
      <c r="R71" s="20">
        <f t="shared" si="12"/>
        <v>1</v>
      </c>
      <c r="S71" s="56">
        <v>97.468525630678599</v>
      </c>
      <c r="T71" s="56">
        <v>77.533299219584393</v>
      </c>
      <c r="U71" s="56">
        <v>95.089297670144688</v>
      </c>
      <c r="V71" s="20">
        <f t="shared" si="25"/>
        <v>82.734095636938108</v>
      </c>
      <c r="W71" s="20">
        <f t="shared" ref="W71:W73" si="30">W70</f>
        <v>92.174004716440379</v>
      </c>
      <c r="X71" s="36"/>
      <c r="Y71" s="26"/>
      <c r="Z71" s="26"/>
      <c r="AA71" s="26"/>
      <c r="AB71" s="36"/>
      <c r="AC71" s="29"/>
      <c r="AD71" s="29"/>
      <c r="AE71" s="29"/>
      <c r="AF71" s="29"/>
      <c r="AG71" s="29"/>
      <c r="AH71" s="29"/>
      <c r="AI71" s="26"/>
      <c r="AJ71" s="26"/>
      <c r="AK71" s="26"/>
      <c r="AL71" s="26"/>
      <c r="AM71" s="26"/>
      <c r="AN71" s="26"/>
      <c r="AW71" s="5"/>
    </row>
    <row r="72" spans="1:49" x14ac:dyDescent="0.35">
      <c r="A72" s="79">
        <v>1</v>
      </c>
      <c r="B72" s="79">
        <v>50</v>
      </c>
      <c r="C72" s="16" t="str">
        <f t="shared" si="9"/>
        <v>Thu</v>
      </c>
      <c r="D72" s="12">
        <v>44728</v>
      </c>
      <c r="E72">
        <f t="shared" si="24"/>
        <v>76</v>
      </c>
      <c r="F72" s="61">
        <f t="shared" si="14"/>
        <v>168</v>
      </c>
      <c r="G72" s="61">
        <f t="shared" si="27"/>
        <v>37</v>
      </c>
      <c r="H72" s="61">
        <f t="shared" si="15"/>
        <v>50</v>
      </c>
      <c r="I72" s="61">
        <f t="shared" si="16"/>
        <v>18</v>
      </c>
      <c r="J72" s="61">
        <f t="shared" si="17"/>
        <v>0</v>
      </c>
      <c r="K72" s="11">
        <f t="shared" si="18"/>
        <v>0.45238095238095238</v>
      </c>
      <c r="L72" s="11">
        <f t="shared" si="19"/>
        <v>0.10989665874664285</v>
      </c>
      <c r="M72" s="11">
        <f t="shared" si="20"/>
        <v>0.42261904761904762</v>
      </c>
      <c r="N72" s="11">
        <f t="shared" si="21"/>
        <v>0.31995243221099917</v>
      </c>
      <c r="O72" s="11">
        <f t="shared" si="22"/>
        <v>0</v>
      </c>
      <c r="P72" s="11">
        <f t="shared" si="11"/>
        <v>0</v>
      </c>
      <c r="Q72" s="11">
        <f t="shared" si="23"/>
        <v>0.42984909095764201</v>
      </c>
      <c r="R72" s="20">
        <f t="shared" si="12"/>
        <v>1</v>
      </c>
      <c r="S72" s="56">
        <v>95.519155118065029</v>
      </c>
      <c r="T72" s="56">
        <v>75.982633235192708</v>
      </c>
      <c r="U72" s="56">
        <v>93.187511716741795</v>
      </c>
      <c r="V72" s="20">
        <f t="shared" si="25"/>
        <v>80.977405874295272</v>
      </c>
      <c r="W72" s="20">
        <f t="shared" si="30"/>
        <v>92.174004716440379</v>
      </c>
      <c r="X72" s="36"/>
      <c r="Y72" s="26"/>
      <c r="Z72" s="26"/>
      <c r="AA72" s="26"/>
      <c r="AB72" s="36"/>
      <c r="AC72" s="29"/>
      <c r="AD72" s="29"/>
      <c r="AE72" s="29"/>
      <c r="AF72" s="29"/>
      <c r="AG72" s="29"/>
      <c r="AH72" s="29"/>
      <c r="AI72" s="26"/>
      <c r="AJ72" s="26"/>
      <c r="AK72" s="26"/>
      <c r="AL72" s="26"/>
      <c r="AM72" s="26"/>
      <c r="AN72" s="26"/>
      <c r="AW72" s="5"/>
    </row>
    <row r="73" spans="1:49" x14ac:dyDescent="0.35">
      <c r="A73" s="79">
        <v>1</v>
      </c>
      <c r="B73" s="79">
        <v>51</v>
      </c>
      <c r="C73" s="16" t="str">
        <f t="shared" si="9"/>
        <v>Fri</v>
      </c>
      <c r="D73" s="12">
        <v>44729</v>
      </c>
      <c r="E73">
        <f t="shared" si="24"/>
        <v>75</v>
      </c>
      <c r="F73" s="61">
        <f t="shared" si="14"/>
        <v>168</v>
      </c>
      <c r="G73" s="61">
        <f t="shared" si="27"/>
        <v>37</v>
      </c>
      <c r="H73" s="61">
        <f t="shared" si="15"/>
        <v>51</v>
      </c>
      <c r="I73" s="61">
        <f t="shared" si="16"/>
        <v>19</v>
      </c>
      <c r="J73" s="61">
        <f t="shared" si="17"/>
        <v>0</v>
      </c>
      <c r="K73" s="11">
        <f t="shared" si="18"/>
        <v>0.44642857142857145</v>
      </c>
      <c r="L73" s="11">
        <f t="shared" si="19"/>
        <v>0.10845065007892388</v>
      </c>
      <c r="M73" s="11">
        <f t="shared" si="20"/>
        <v>0.42857142857142855</v>
      </c>
      <c r="N73" s="11">
        <f t="shared" si="21"/>
        <v>0.32445880449566111</v>
      </c>
      <c r="O73" s="11">
        <f t="shared" si="22"/>
        <v>0</v>
      </c>
      <c r="P73" s="11">
        <f t="shared" si="11"/>
        <v>0</v>
      </c>
      <c r="Q73" s="11">
        <f t="shared" si="23"/>
        <v>0.43290945457458496</v>
      </c>
      <c r="R73" s="20">
        <f t="shared" si="12"/>
        <v>1</v>
      </c>
      <c r="S73" s="56">
        <v>93.608772015703735</v>
      </c>
      <c r="T73" s="56">
        <v>74.462980570488853</v>
      </c>
      <c r="U73" s="56">
        <v>91.323761482406965</v>
      </c>
      <c r="V73" s="20">
        <f t="shared" si="25"/>
        <v>79.259303465652891</v>
      </c>
      <c r="W73" s="20">
        <f t="shared" si="30"/>
        <v>92.174004716440379</v>
      </c>
      <c r="X73" s="36"/>
      <c r="Y73" s="26"/>
      <c r="Z73" s="26"/>
      <c r="AA73" s="26"/>
      <c r="AB73" s="36"/>
      <c r="AC73" s="29"/>
      <c r="AD73" s="29"/>
      <c r="AE73" s="29"/>
      <c r="AF73" s="29"/>
      <c r="AG73" s="29"/>
      <c r="AH73" s="29"/>
      <c r="AI73" s="26"/>
      <c r="AJ73" s="26"/>
      <c r="AK73" s="26"/>
      <c r="AL73" s="26"/>
      <c r="AM73" s="26"/>
      <c r="AN73" s="26"/>
      <c r="AW73" s="5"/>
    </row>
    <row r="74" spans="1:49" x14ac:dyDescent="0.35">
      <c r="A74" s="79">
        <v>1</v>
      </c>
      <c r="B74" s="79">
        <v>52</v>
      </c>
      <c r="C74" s="16" t="str">
        <f t="shared" si="9"/>
        <v>Mon</v>
      </c>
      <c r="D74" s="12">
        <v>44732</v>
      </c>
      <c r="E74">
        <f t="shared" si="24"/>
        <v>74</v>
      </c>
      <c r="F74" s="61">
        <f t="shared" si="14"/>
        <v>168</v>
      </c>
      <c r="G74" s="61">
        <f t="shared" si="27"/>
        <v>37</v>
      </c>
      <c r="H74" s="61">
        <f t="shared" si="15"/>
        <v>52</v>
      </c>
      <c r="I74" s="61">
        <f t="shared" si="16"/>
        <v>20</v>
      </c>
      <c r="J74" s="61">
        <f t="shared" si="17"/>
        <v>0</v>
      </c>
      <c r="K74" s="11">
        <f t="shared" si="18"/>
        <v>0.44047619047619047</v>
      </c>
      <c r="L74" s="11">
        <f t="shared" si="19"/>
        <v>0.10700464141120487</v>
      </c>
      <c r="M74" s="11">
        <f t="shared" si="20"/>
        <v>0.43452380952380953</v>
      </c>
      <c r="N74" s="11">
        <f t="shared" si="21"/>
        <v>0.32896517678032305</v>
      </c>
      <c r="O74" s="11">
        <f t="shared" si="22"/>
        <v>0</v>
      </c>
      <c r="P74" s="11">
        <f t="shared" si="11"/>
        <v>0</v>
      </c>
      <c r="Q74" s="11">
        <f t="shared" si="23"/>
        <v>0.43596981819152791</v>
      </c>
      <c r="R74" s="20">
        <f t="shared" si="12"/>
        <v>1</v>
      </c>
      <c r="S74" s="56">
        <v>91.736596575389655</v>
      </c>
      <c r="T74" s="56">
        <v>72.973720959079074</v>
      </c>
      <c r="U74" s="56">
        <v>89.497286252758826</v>
      </c>
      <c r="V74" s="20">
        <f t="shared" si="25"/>
        <v>77.578890155182322</v>
      </c>
      <c r="W74" s="20">
        <f>AVERAGE(V69:V73)</f>
        <v>82.77360987328143</v>
      </c>
      <c r="X74" s="36"/>
      <c r="Y74" s="26"/>
      <c r="Z74" s="26"/>
      <c r="AA74" s="26"/>
      <c r="AB74" s="36"/>
      <c r="AC74" s="29"/>
      <c r="AD74" s="29"/>
      <c r="AE74" s="29"/>
      <c r="AF74" s="29"/>
      <c r="AG74" s="29"/>
      <c r="AH74" s="29"/>
      <c r="AI74" s="26"/>
      <c r="AJ74" s="26"/>
      <c r="AK74" s="26"/>
      <c r="AL74" s="26"/>
      <c r="AM74" s="26"/>
      <c r="AN74" s="26"/>
      <c r="AW74" s="5"/>
    </row>
    <row r="75" spans="1:49" x14ac:dyDescent="0.35">
      <c r="A75" s="79">
        <v>1</v>
      </c>
      <c r="B75" s="79">
        <v>53</v>
      </c>
      <c r="C75" s="16" t="str">
        <f t="shared" si="9"/>
        <v>Tue</v>
      </c>
      <c r="D75" s="12">
        <v>44733</v>
      </c>
      <c r="E75">
        <f t="shared" si="24"/>
        <v>73</v>
      </c>
      <c r="F75" s="61">
        <f t="shared" si="14"/>
        <v>168</v>
      </c>
      <c r="G75" s="61">
        <f t="shared" si="27"/>
        <v>37</v>
      </c>
      <c r="H75" s="61">
        <f t="shared" si="15"/>
        <v>53</v>
      </c>
      <c r="I75" s="61">
        <f t="shared" si="16"/>
        <v>21</v>
      </c>
      <c r="J75" s="61">
        <f t="shared" si="17"/>
        <v>0</v>
      </c>
      <c r="K75" s="11">
        <f t="shared" si="18"/>
        <v>0.43452380952380953</v>
      </c>
      <c r="L75" s="11">
        <f t="shared" si="19"/>
        <v>0.1055586327434859</v>
      </c>
      <c r="M75" s="11">
        <f t="shared" si="20"/>
        <v>0.44047619047619047</v>
      </c>
      <c r="N75" s="11">
        <f t="shared" si="21"/>
        <v>0.33347154906498505</v>
      </c>
      <c r="O75" s="11">
        <f t="shared" si="22"/>
        <v>0</v>
      </c>
      <c r="P75" s="11">
        <f t="shared" si="11"/>
        <v>0</v>
      </c>
      <c r="Q75" s="11">
        <f t="shared" si="23"/>
        <v>0.43903018180847098</v>
      </c>
      <c r="R75" s="20">
        <f t="shared" si="12"/>
        <v>0.99999999999999989</v>
      </c>
      <c r="S75" s="56">
        <v>89.901864643881865</v>
      </c>
      <c r="T75" s="56">
        <v>71.514246539897499</v>
      </c>
      <c r="U75" s="56">
        <v>87.70734052770365</v>
      </c>
      <c r="V75" s="20">
        <f t="shared" si="25"/>
        <v>75.935290711554728</v>
      </c>
      <c r="W75" s="20">
        <f>W74</f>
        <v>82.77360987328143</v>
      </c>
      <c r="X75" s="36"/>
      <c r="Y75" s="26"/>
      <c r="Z75" s="26"/>
      <c r="AA75" s="26"/>
      <c r="AB75" s="36"/>
      <c r="AC75" s="29"/>
      <c r="AD75" s="29"/>
      <c r="AE75" s="29"/>
      <c r="AF75" s="29"/>
      <c r="AG75" s="29"/>
      <c r="AH75" s="29"/>
      <c r="AI75" s="26"/>
      <c r="AJ75" s="26"/>
      <c r="AK75" s="26"/>
      <c r="AL75" s="26"/>
      <c r="AM75" s="26"/>
      <c r="AN75" s="26"/>
      <c r="AW75" s="5"/>
    </row>
    <row r="76" spans="1:49" x14ac:dyDescent="0.35">
      <c r="A76" s="79">
        <v>1</v>
      </c>
      <c r="B76" s="79">
        <v>54</v>
      </c>
      <c r="C76" s="16" t="str">
        <f t="shared" si="9"/>
        <v>Wed</v>
      </c>
      <c r="D76" s="12">
        <v>44734</v>
      </c>
      <c r="E76">
        <f t="shared" si="24"/>
        <v>72</v>
      </c>
      <c r="F76" s="61">
        <f t="shared" si="14"/>
        <v>168</v>
      </c>
      <c r="G76" s="61">
        <f t="shared" si="27"/>
        <v>37</v>
      </c>
      <c r="H76" s="61">
        <f t="shared" si="15"/>
        <v>54</v>
      </c>
      <c r="I76" s="61">
        <f t="shared" si="16"/>
        <v>22</v>
      </c>
      <c r="J76" s="61">
        <f t="shared" si="17"/>
        <v>0</v>
      </c>
      <c r="K76" s="11">
        <f t="shared" si="18"/>
        <v>0.42857142857142855</v>
      </c>
      <c r="L76" s="11">
        <f t="shared" si="19"/>
        <v>0.10411262407576691</v>
      </c>
      <c r="M76" s="11">
        <f t="shared" si="20"/>
        <v>0.44642857142857145</v>
      </c>
      <c r="N76" s="11">
        <f t="shared" si="21"/>
        <v>0.33797792134964699</v>
      </c>
      <c r="O76" s="11">
        <f t="shared" si="22"/>
        <v>0</v>
      </c>
      <c r="P76" s="11">
        <f t="shared" si="11"/>
        <v>0</v>
      </c>
      <c r="Q76" s="11">
        <f t="shared" si="23"/>
        <v>0.44209054542541393</v>
      </c>
      <c r="R76" s="20">
        <f t="shared" si="12"/>
        <v>1</v>
      </c>
      <c r="S76" s="56">
        <v>88.103827351004227</v>
      </c>
      <c r="T76" s="56">
        <v>70.083961609099546</v>
      </c>
      <c r="U76" s="56">
        <v>85.953193717149574</v>
      </c>
      <c r="V76" s="20">
        <f t="shared" si="25"/>
        <v>74.327652245092182</v>
      </c>
      <c r="W76" s="20">
        <f t="shared" ref="W76:W78" si="31">W75</f>
        <v>82.77360987328143</v>
      </c>
      <c r="X76" s="36"/>
      <c r="Y76" s="26"/>
      <c r="Z76" s="26"/>
      <c r="AA76" s="26"/>
      <c r="AB76" s="36"/>
      <c r="AC76" s="29"/>
      <c r="AD76" s="29"/>
      <c r="AE76" s="29"/>
      <c r="AF76" s="29"/>
      <c r="AG76" s="29"/>
      <c r="AH76" s="29"/>
      <c r="AI76" s="26"/>
      <c r="AJ76" s="26"/>
      <c r="AK76" s="26"/>
      <c r="AL76" s="26"/>
      <c r="AM76" s="26"/>
      <c r="AN76" s="26"/>
      <c r="AW76" s="5"/>
    </row>
    <row r="77" spans="1:49" x14ac:dyDescent="0.35">
      <c r="A77" s="79">
        <v>1</v>
      </c>
      <c r="B77" s="79">
        <v>55</v>
      </c>
      <c r="C77" s="16" t="str">
        <f t="shared" si="9"/>
        <v>Thu</v>
      </c>
      <c r="D77" s="12">
        <v>44735</v>
      </c>
      <c r="E77">
        <f t="shared" si="24"/>
        <v>71</v>
      </c>
      <c r="F77" s="61">
        <f t="shared" si="14"/>
        <v>168</v>
      </c>
      <c r="G77" s="61">
        <f t="shared" si="27"/>
        <v>37</v>
      </c>
      <c r="H77" s="61">
        <f t="shared" si="15"/>
        <v>55</v>
      </c>
      <c r="I77" s="61">
        <f t="shared" si="16"/>
        <v>23</v>
      </c>
      <c r="J77" s="61">
        <f t="shared" si="17"/>
        <v>0</v>
      </c>
      <c r="K77" s="11">
        <f t="shared" si="18"/>
        <v>0.42261904761904762</v>
      </c>
      <c r="L77" s="11">
        <f t="shared" si="19"/>
        <v>0.10266661540804793</v>
      </c>
      <c r="M77" s="11">
        <f t="shared" si="20"/>
        <v>0.45238095238095238</v>
      </c>
      <c r="N77" s="11">
        <f t="shared" si="21"/>
        <v>0.34248429363430893</v>
      </c>
      <c r="O77" s="11">
        <f t="shared" si="22"/>
        <v>0</v>
      </c>
      <c r="P77" s="11">
        <f t="shared" si="11"/>
        <v>0</v>
      </c>
      <c r="Q77" s="11">
        <f t="shared" si="23"/>
        <v>0.44515090904235688</v>
      </c>
      <c r="R77" s="20">
        <f t="shared" si="12"/>
        <v>1</v>
      </c>
      <c r="S77" s="56">
        <v>86.341750803984141</v>
      </c>
      <c r="T77" s="56">
        <v>68.682282376917556</v>
      </c>
      <c r="U77" s="56">
        <v>84.234129842806581</v>
      </c>
      <c r="V77" s="20">
        <f t="shared" si="25"/>
        <v>72.755143549351331</v>
      </c>
      <c r="W77" s="20">
        <f t="shared" si="31"/>
        <v>82.77360987328143</v>
      </c>
      <c r="X77" s="36"/>
      <c r="Y77" s="26"/>
      <c r="Z77" s="26"/>
      <c r="AA77" s="26"/>
      <c r="AB77" s="36"/>
      <c r="AC77" s="29"/>
      <c r="AD77" s="29"/>
      <c r="AE77" s="29"/>
      <c r="AF77" s="29"/>
      <c r="AG77" s="29"/>
      <c r="AH77" s="29"/>
      <c r="AI77" s="26"/>
      <c r="AJ77" s="26"/>
      <c r="AK77" s="26"/>
      <c r="AL77" s="26"/>
      <c r="AM77" s="26"/>
      <c r="AN77" s="26"/>
      <c r="AW77" s="5"/>
    </row>
    <row r="78" spans="1:49" x14ac:dyDescent="0.35">
      <c r="A78" s="79">
        <v>1</v>
      </c>
      <c r="B78" s="79">
        <v>56</v>
      </c>
      <c r="C78" s="16" t="str">
        <f t="shared" si="9"/>
        <v>Fri</v>
      </c>
      <c r="D78" s="12">
        <v>44736</v>
      </c>
      <c r="E78">
        <f t="shared" si="24"/>
        <v>70</v>
      </c>
      <c r="F78" s="61">
        <f t="shared" si="14"/>
        <v>168</v>
      </c>
      <c r="G78" s="61">
        <f t="shared" si="27"/>
        <v>37</v>
      </c>
      <c r="H78" s="61">
        <f t="shared" si="15"/>
        <v>56</v>
      </c>
      <c r="I78" s="61">
        <f t="shared" si="16"/>
        <v>24</v>
      </c>
      <c r="J78" s="61">
        <f t="shared" si="17"/>
        <v>0</v>
      </c>
      <c r="K78" s="11">
        <f t="shared" si="18"/>
        <v>0.41666666666666669</v>
      </c>
      <c r="L78" s="11">
        <f t="shared" si="19"/>
        <v>0.10122060674032894</v>
      </c>
      <c r="M78" s="11">
        <f t="shared" si="20"/>
        <v>0.45833333333333331</v>
      </c>
      <c r="N78" s="11">
        <f t="shared" si="21"/>
        <v>0.34699066591897088</v>
      </c>
      <c r="O78" s="11">
        <f t="shared" si="22"/>
        <v>0</v>
      </c>
      <c r="P78" s="11">
        <f t="shared" si="11"/>
        <v>0</v>
      </c>
      <c r="Q78" s="11">
        <f t="shared" si="23"/>
        <v>0.44821127265929983</v>
      </c>
      <c r="R78" s="20">
        <f t="shared" si="12"/>
        <v>1</v>
      </c>
      <c r="S78" s="56">
        <v>84.614915787904465</v>
      </c>
      <c r="T78" s="56">
        <v>67.308636729379202</v>
      </c>
      <c r="U78" s="56">
        <v>82.549447245950446</v>
      </c>
      <c r="V78" s="20">
        <f t="shared" si="25"/>
        <v>71.21695446607508</v>
      </c>
      <c r="W78" s="20">
        <f t="shared" si="31"/>
        <v>82.77360987328143</v>
      </c>
      <c r="X78" s="36"/>
      <c r="Y78" s="26"/>
      <c r="Z78" s="26"/>
      <c r="AA78" s="26"/>
      <c r="AB78" s="36"/>
      <c r="AC78" s="29"/>
      <c r="AD78" s="29"/>
      <c r="AE78" s="29"/>
      <c r="AF78" s="29"/>
      <c r="AG78" s="29"/>
      <c r="AH78" s="29"/>
      <c r="AI78" s="26"/>
      <c r="AJ78" s="26"/>
      <c r="AK78" s="26"/>
      <c r="AL78" s="26"/>
      <c r="AM78" s="26"/>
      <c r="AN78" s="26"/>
      <c r="AW78" s="5"/>
    </row>
    <row r="79" spans="1:49" x14ac:dyDescent="0.35">
      <c r="A79" s="79">
        <v>1</v>
      </c>
      <c r="B79" s="79">
        <v>57</v>
      </c>
      <c r="C79" s="16" t="str">
        <f t="shared" si="9"/>
        <v>Mon</v>
      </c>
      <c r="D79" s="12">
        <v>44739</v>
      </c>
      <c r="E79">
        <f t="shared" si="24"/>
        <v>69</v>
      </c>
      <c r="F79" s="61">
        <f t="shared" si="14"/>
        <v>168</v>
      </c>
      <c r="G79" s="61">
        <f t="shared" si="27"/>
        <v>37</v>
      </c>
      <c r="H79" s="61">
        <f t="shared" si="15"/>
        <v>57</v>
      </c>
      <c r="I79" s="61">
        <f t="shared" si="16"/>
        <v>25</v>
      </c>
      <c r="J79" s="61">
        <f t="shared" si="17"/>
        <v>0</v>
      </c>
      <c r="K79" s="11">
        <f t="shared" si="18"/>
        <v>0.4107142857142857</v>
      </c>
      <c r="L79" s="11">
        <f t="shared" si="19"/>
        <v>9.9774598072609952E-2</v>
      </c>
      <c r="M79" s="11">
        <f t="shared" si="20"/>
        <v>0.4642857142857143</v>
      </c>
      <c r="N79" s="11">
        <f t="shared" si="21"/>
        <v>0.35149703820363287</v>
      </c>
      <c r="O79" s="11">
        <f t="shared" si="22"/>
        <v>0</v>
      </c>
      <c r="P79" s="11">
        <f t="shared" si="11"/>
        <v>0</v>
      </c>
      <c r="Q79" s="11">
        <f t="shared" si="23"/>
        <v>0.45127163627624284</v>
      </c>
      <c r="R79" s="20">
        <f t="shared" si="12"/>
        <v>1</v>
      </c>
      <c r="S79" s="56">
        <v>82.922617472146371</v>
      </c>
      <c r="T79" s="56">
        <v>65.962463994791619</v>
      </c>
      <c r="U79" s="56">
        <v>80.89845830103144</v>
      </c>
      <c r="V79" s="20">
        <f t="shared" si="25"/>
        <v>69.712295272503454</v>
      </c>
      <c r="W79" s="20">
        <f>AVERAGE(V74:V78)</f>
        <v>74.362786225451117</v>
      </c>
      <c r="X79" s="36"/>
      <c r="Y79" s="26"/>
      <c r="Z79" s="26"/>
      <c r="AA79" s="26"/>
      <c r="AB79" s="36"/>
      <c r="AC79" s="29"/>
      <c r="AD79" s="29"/>
      <c r="AE79" s="29"/>
      <c r="AF79" s="29"/>
      <c r="AG79" s="29"/>
      <c r="AH79" s="29"/>
      <c r="AI79" s="26"/>
      <c r="AJ79" s="26"/>
      <c r="AK79" s="26"/>
      <c r="AL79" s="26"/>
      <c r="AM79" s="26"/>
      <c r="AN79" s="26"/>
      <c r="AW79" s="5"/>
    </row>
    <row r="80" spans="1:49" x14ac:dyDescent="0.35">
      <c r="A80" s="79">
        <v>1</v>
      </c>
      <c r="B80" s="79">
        <v>58</v>
      </c>
      <c r="C80" s="16" t="str">
        <f t="shared" si="9"/>
        <v>Tue</v>
      </c>
      <c r="D80" s="12">
        <v>44740</v>
      </c>
      <c r="E80">
        <f t="shared" si="24"/>
        <v>68</v>
      </c>
      <c r="F80" s="61">
        <f t="shared" si="14"/>
        <v>168</v>
      </c>
      <c r="G80" s="61">
        <f t="shared" si="27"/>
        <v>37</v>
      </c>
      <c r="H80" s="61">
        <f t="shared" si="15"/>
        <v>58</v>
      </c>
      <c r="I80" s="61">
        <f t="shared" si="16"/>
        <v>26</v>
      </c>
      <c r="J80" s="61">
        <f t="shared" si="17"/>
        <v>0</v>
      </c>
      <c r="K80" s="11">
        <f t="shared" si="18"/>
        <v>0.40476190476190477</v>
      </c>
      <c r="L80" s="11">
        <f t="shared" si="19"/>
        <v>9.8328589404890976E-2</v>
      </c>
      <c r="M80" s="11">
        <f t="shared" si="20"/>
        <v>0.47023809523809523</v>
      </c>
      <c r="N80" s="11">
        <f t="shared" si="21"/>
        <v>0.35600341048829481</v>
      </c>
      <c r="O80" s="11">
        <f t="shared" si="22"/>
        <v>0</v>
      </c>
      <c r="P80" s="11">
        <f t="shared" si="11"/>
        <v>0</v>
      </c>
      <c r="Q80" s="11">
        <f t="shared" si="23"/>
        <v>0.45433199989318579</v>
      </c>
      <c r="R80" s="20">
        <f t="shared" si="12"/>
        <v>1</v>
      </c>
      <c r="S80" s="56">
        <v>81.264165122703446</v>
      </c>
      <c r="T80" s="56">
        <v>64.643214714895791</v>
      </c>
      <c r="U80" s="56">
        <v>79.280489135010811</v>
      </c>
      <c r="V80" s="20">
        <f t="shared" si="25"/>
        <v>68.240396090085312</v>
      </c>
      <c r="W80" s="20">
        <f>W79</f>
        <v>74.362786225451117</v>
      </c>
      <c r="X80" s="36"/>
      <c r="Y80" s="26"/>
      <c r="Z80" s="26"/>
      <c r="AA80" s="26"/>
      <c r="AB80" s="36"/>
      <c r="AC80" s="29"/>
      <c r="AD80" s="29"/>
      <c r="AE80" s="29"/>
      <c r="AF80" s="29"/>
      <c r="AG80" s="29"/>
      <c r="AH80" s="29"/>
      <c r="AI80" s="26"/>
      <c r="AJ80" s="26"/>
      <c r="AK80" s="26"/>
      <c r="AL80" s="26"/>
      <c r="AM80" s="26"/>
      <c r="AN80" s="26"/>
      <c r="AW80" s="5"/>
    </row>
    <row r="81" spans="1:49" x14ac:dyDescent="0.35">
      <c r="A81" s="79">
        <v>1</v>
      </c>
      <c r="B81" s="79">
        <v>59</v>
      </c>
      <c r="C81" s="16" t="str">
        <f t="shared" si="9"/>
        <v>Wed</v>
      </c>
      <c r="D81" s="12">
        <v>44741</v>
      </c>
      <c r="E81">
        <f t="shared" si="24"/>
        <v>67</v>
      </c>
      <c r="F81" s="61">
        <f t="shared" si="14"/>
        <v>168</v>
      </c>
      <c r="G81" s="61">
        <f t="shared" si="27"/>
        <v>37</v>
      </c>
      <c r="H81" s="61">
        <f t="shared" si="15"/>
        <v>59</v>
      </c>
      <c r="I81" s="61">
        <f t="shared" si="16"/>
        <v>27</v>
      </c>
      <c r="J81" s="61">
        <f t="shared" si="17"/>
        <v>0</v>
      </c>
      <c r="K81" s="11">
        <f t="shared" si="18"/>
        <v>0.39880952380952384</v>
      </c>
      <c r="L81" s="11">
        <f t="shared" si="19"/>
        <v>9.6882580737172E-2</v>
      </c>
      <c r="M81" s="11">
        <f t="shared" si="20"/>
        <v>0.47619047619047616</v>
      </c>
      <c r="N81" s="11">
        <f t="shared" si="21"/>
        <v>0.36050978277295676</v>
      </c>
      <c r="O81" s="11">
        <f t="shared" si="22"/>
        <v>0</v>
      </c>
      <c r="P81" s="11">
        <f t="shared" si="11"/>
        <v>0</v>
      </c>
      <c r="Q81" s="11">
        <f t="shared" si="23"/>
        <v>0.45739236351012874</v>
      </c>
      <c r="R81" s="20">
        <f t="shared" si="12"/>
        <v>1</v>
      </c>
      <c r="S81" s="56">
        <v>79.638881820249381</v>
      </c>
      <c r="T81" s="56">
        <v>63.350350420597877</v>
      </c>
      <c r="U81" s="56">
        <v>77.694879352310593</v>
      </c>
      <c r="V81" s="20">
        <f t="shared" si="25"/>
        <v>66.800506313683215</v>
      </c>
      <c r="W81" s="20">
        <f t="shared" ref="W81:W83" si="32">W80</f>
        <v>74.362786225451117</v>
      </c>
      <c r="X81" s="36"/>
      <c r="Y81" s="26"/>
      <c r="Z81" s="26"/>
      <c r="AA81" s="26"/>
      <c r="AB81" s="36"/>
      <c r="AC81" s="29"/>
      <c r="AD81" s="29"/>
      <c r="AE81" s="29"/>
      <c r="AF81" s="29"/>
      <c r="AG81" s="29"/>
      <c r="AH81" s="29"/>
      <c r="AI81" s="26"/>
      <c r="AJ81" s="26"/>
      <c r="AK81" s="26"/>
      <c r="AL81" s="26"/>
      <c r="AM81" s="26"/>
      <c r="AN81" s="26"/>
      <c r="AW81" s="5"/>
    </row>
    <row r="82" spans="1:49" x14ac:dyDescent="0.35">
      <c r="A82" s="79">
        <v>1</v>
      </c>
      <c r="B82" s="79">
        <v>60</v>
      </c>
      <c r="C82" s="16" t="str">
        <f t="shared" si="9"/>
        <v>Thu</v>
      </c>
      <c r="D82" s="12">
        <v>44742</v>
      </c>
      <c r="E82">
        <f t="shared" si="24"/>
        <v>66</v>
      </c>
      <c r="F82" s="61">
        <f t="shared" si="14"/>
        <v>168</v>
      </c>
      <c r="G82" s="61">
        <f t="shared" si="27"/>
        <v>37</v>
      </c>
      <c r="H82" s="61">
        <f t="shared" si="15"/>
        <v>60</v>
      </c>
      <c r="I82" s="61">
        <f t="shared" si="16"/>
        <v>28</v>
      </c>
      <c r="J82" s="61">
        <f t="shared" si="17"/>
        <v>0</v>
      </c>
      <c r="K82" s="11">
        <f t="shared" si="18"/>
        <v>0.39285714285714285</v>
      </c>
      <c r="L82" s="11">
        <f t="shared" si="19"/>
        <v>9.5436572069452996E-2</v>
      </c>
      <c r="M82" s="11">
        <f t="shared" si="20"/>
        <v>0.48214285714285715</v>
      </c>
      <c r="N82" s="11">
        <f t="shared" si="21"/>
        <v>0.36501615505761875</v>
      </c>
      <c r="O82" s="11">
        <f t="shared" si="22"/>
        <v>0</v>
      </c>
      <c r="P82" s="11">
        <f t="shared" si="11"/>
        <v>0</v>
      </c>
      <c r="Q82" s="11">
        <f t="shared" si="23"/>
        <v>0.46045272712707175</v>
      </c>
      <c r="R82" s="20">
        <f t="shared" si="12"/>
        <v>1</v>
      </c>
      <c r="S82" s="56">
        <v>78.046104183844392</v>
      </c>
      <c r="T82" s="56">
        <v>62.083343412185918</v>
      </c>
      <c r="U82" s="56">
        <v>76.140981765264385</v>
      </c>
      <c r="V82" s="20">
        <f t="shared" si="25"/>
        <v>65.391894060407836</v>
      </c>
      <c r="W82" s="20">
        <f t="shared" si="32"/>
        <v>74.362786225451117</v>
      </c>
      <c r="X82" s="36"/>
      <c r="Y82" s="26"/>
      <c r="Z82" s="26"/>
      <c r="AA82" s="26"/>
      <c r="AB82" s="36"/>
      <c r="AC82" s="29"/>
      <c r="AD82" s="29"/>
      <c r="AE82" s="29"/>
      <c r="AF82" s="29"/>
      <c r="AG82" s="29"/>
      <c r="AH82" s="29"/>
      <c r="AI82" s="26"/>
      <c r="AJ82" s="26"/>
      <c r="AK82" s="26"/>
      <c r="AL82" s="26"/>
      <c r="AM82" s="26"/>
      <c r="AN82" s="26"/>
      <c r="AW82" s="5"/>
    </row>
    <row r="83" spans="1:49" x14ac:dyDescent="0.35">
      <c r="A83" s="79">
        <v>1</v>
      </c>
      <c r="B83" s="79">
        <v>61</v>
      </c>
      <c r="C83" s="16" t="str">
        <f t="shared" si="9"/>
        <v>Fri</v>
      </c>
      <c r="D83" s="12">
        <v>44743</v>
      </c>
      <c r="E83">
        <f t="shared" si="24"/>
        <v>65</v>
      </c>
      <c r="F83" s="61">
        <f t="shared" si="14"/>
        <v>168</v>
      </c>
      <c r="G83" s="61">
        <f t="shared" si="27"/>
        <v>37</v>
      </c>
      <c r="H83" s="61">
        <f t="shared" si="15"/>
        <v>61</v>
      </c>
      <c r="I83" s="61">
        <f t="shared" si="16"/>
        <v>29</v>
      </c>
      <c r="J83" s="61">
        <f t="shared" si="17"/>
        <v>0</v>
      </c>
      <c r="K83" s="11">
        <f t="shared" si="18"/>
        <v>0.38690476190476192</v>
      </c>
      <c r="L83" s="11">
        <f t="shared" si="19"/>
        <v>9.399056340173402E-2</v>
      </c>
      <c r="M83" s="11">
        <f t="shared" si="20"/>
        <v>0.48809523809523808</v>
      </c>
      <c r="N83" s="11">
        <f t="shared" si="21"/>
        <v>0.36952252734228069</v>
      </c>
      <c r="O83" s="11">
        <f t="shared" si="22"/>
        <v>0</v>
      </c>
      <c r="P83" s="11">
        <f t="shared" si="11"/>
        <v>0</v>
      </c>
      <c r="Q83" s="11">
        <f t="shared" si="23"/>
        <v>0.4635130907440147</v>
      </c>
      <c r="R83" s="20">
        <f t="shared" si="12"/>
        <v>1</v>
      </c>
      <c r="S83" s="56">
        <v>76.485182100167506</v>
      </c>
      <c r="T83" s="56">
        <v>60.841676543942199</v>
      </c>
      <c r="U83" s="56">
        <v>74.618162129959103</v>
      </c>
      <c r="V83" s="20">
        <f t="shared" si="25"/>
        <v>64.013845637263032</v>
      </c>
      <c r="W83" s="20">
        <f t="shared" si="32"/>
        <v>74.362786225451117</v>
      </c>
      <c r="X83" s="36"/>
      <c r="Y83" s="26"/>
      <c r="Z83" s="26"/>
      <c r="AA83" s="26"/>
      <c r="AB83" s="36"/>
      <c r="AC83" s="29"/>
      <c r="AD83" s="29"/>
      <c r="AE83" s="29"/>
      <c r="AF83" s="29"/>
      <c r="AG83" s="29"/>
      <c r="AH83" s="29"/>
      <c r="AI83" s="26"/>
      <c r="AJ83" s="26"/>
      <c r="AK83" s="26"/>
      <c r="AL83" s="26"/>
      <c r="AM83" s="26"/>
      <c r="AN83" s="26"/>
      <c r="AW83" s="5"/>
    </row>
    <row r="84" spans="1:49" x14ac:dyDescent="0.35">
      <c r="A84" s="79">
        <v>1</v>
      </c>
      <c r="B84" s="79">
        <v>62</v>
      </c>
      <c r="C84" s="16" t="str">
        <f t="shared" si="9"/>
        <v>Mon</v>
      </c>
      <c r="D84" s="12">
        <v>44746</v>
      </c>
      <c r="E84">
        <f t="shared" si="24"/>
        <v>64</v>
      </c>
      <c r="F84" s="61">
        <f t="shared" si="14"/>
        <v>168</v>
      </c>
      <c r="G84" s="61">
        <f t="shared" si="27"/>
        <v>37</v>
      </c>
      <c r="H84" s="61">
        <f t="shared" si="15"/>
        <v>62</v>
      </c>
      <c r="I84" s="61">
        <f t="shared" si="16"/>
        <v>30</v>
      </c>
      <c r="J84" s="61">
        <f t="shared" si="17"/>
        <v>0</v>
      </c>
      <c r="K84" s="11">
        <f t="shared" si="18"/>
        <v>0.38095238095238093</v>
      </c>
      <c r="L84" s="11">
        <f t="shared" si="19"/>
        <v>9.254455473401503E-2</v>
      </c>
      <c r="M84" s="11">
        <f t="shared" si="20"/>
        <v>0.49404761904761907</v>
      </c>
      <c r="N84" s="11">
        <f t="shared" si="21"/>
        <v>0.37402889962694269</v>
      </c>
      <c r="O84" s="11">
        <f t="shared" si="22"/>
        <v>0</v>
      </c>
      <c r="P84" s="11">
        <f t="shared" si="11"/>
        <v>0</v>
      </c>
      <c r="Q84" s="11">
        <f t="shared" si="23"/>
        <v>0.46657345436095771</v>
      </c>
      <c r="R84" s="20">
        <f t="shared" si="12"/>
        <v>1</v>
      </c>
      <c r="S84" s="56">
        <v>74.955478458164151</v>
      </c>
      <c r="T84" s="56">
        <v>59.624843013063355</v>
      </c>
      <c r="U84" s="56">
        <v>73.12579888735992</v>
      </c>
      <c r="V84" s="20">
        <f t="shared" si="25"/>
        <v>62.665665026822317</v>
      </c>
      <c r="W84" s="20">
        <f>AVERAGE(V79:V83)</f>
        <v>66.83178747478857</v>
      </c>
      <c r="X84" s="36"/>
      <c r="Y84" s="26"/>
      <c r="Z84" s="26"/>
      <c r="AA84" s="26"/>
      <c r="AB84" s="36"/>
      <c r="AC84" s="29"/>
      <c r="AD84" s="29"/>
      <c r="AE84" s="29"/>
      <c r="AF84" s="29"/>
      <c r="AG84" s="29"/>
      <c r="AH84" s="29"/>
      <c r="AI84" s="26"/>
      <c r="AJ84" s="26"/>
      <c r="AK84" s="26"/>
      <c r="AL84" s="26"/>
      <c r="AM84" s="26"/>
      <c r="AN84" s="26"/>
      <c r="AW84" s="5"/>
    </row>
    <row r="85" spans="1:49" x14ac:dyDescent="0.35">
      <c r="A85" s="79">
        <v>1</v>
      </c>
      <c r="B85" s="79">
        <v>63</v>
      </c>
      <c r="C85" s="16" t="str">
        <f t="shared" si="9"/>
        <v>Tue</v>
      </c>
      <c r="D85" s="12">
        <v>44747</v>
      </c>
      <c r="E85">
        <f t="shared" si="24"/>
        <v>63</v>
      </c>
      <c r="F85" s="61">
        <f t="shared" si="14"/>
        <v>168</v>
      </c>
      <c r="G85" s="61">
        <f t="shared" si="27"/>
        <v>37</v>
      </c>
      <c r="H85" s="61">
        <f t="shared" si="15"/>
        <v>63</v>
      </c>
      <c r="I85" s="61">
        <f t="shared" si="16"/>
        <v>31</v>
      </c>
      <c r="J85" s="61">
        <f t="shared" si="17"/>
        <v>0</v>
      </c>
      <c r="K85" s="11">
        <f t="shared" si="18"/>
        <v>0.375</v>
      </c>
      <c r="L85" s="11">
        <f t="shared" si="19"/>
        <v>9.1098546066296054E-2</v>
      </c>
      <c r="M85" s="11">
        <f t="shared" si="20"/>
        <v>0.5</v>
      </c>
      <c r="N85" s="11">
        <f t="shared" si="21"/>
        <v>0.37853527191160463</v>
      </c>
      <c r="O85" s="11">
        <f t="shared" si="22"/>
        <v>0</v>
      </c>
      <c r="P85" s="11">
        <f t="shared" si="11"/>
        <v>0</v>
      </c>
      <c r="Q85" s="11">
        <f t="shared" si="23"/>
        <v>0.46963381797790071</v>
      </c>
      <c r="R85" s="20">
        <f t="shared" si="12"/>
        <v>1</v>
      </c>
      <c r="S85" s="56">
        <v>73.456368889000871</v>
      </c>
      <c r="T85" s="56">
        <v>58.43234615280209</v>
      </c>
      <c r="U85" s="56">
        <v>71.663282909612718</v>
      </c>
      <c r="V85" s="20">
        <f t="shared" si="25"/>
        <v>61.346673390196834</v>
      </c>
      <c r="W85" s="20">
        <f>W84</f>
        <v>66.83178747478857</v>
      </c>
      <c r="X85" s="36"/>
      <c r="Y85" s="26"/>
      <c r="Z85" s="26"/>
      <c r="AA85" s="26"/>
      <c r="AB85" s="36"/>
      <c r="AC85" s="29"/>
      <c r="AD85" s="29"/>
      <c r="AE85" s="29"/>
      <c r="AF85" s="29"/>
      <c r="AG85" s="29"/>
      <c r="AH85" s="29"/>
      <c r="AI85" s="26"/>
      <c r="AJ85" s="26"/>
      <c r="AK85" s="26"/>
      <c r="AL85" s="26"/>
      <c r="AM85" s="26"/>
      <c r="AN85" s="26"/>
    </row>
    <row r="86" spans="1:49" x14ac:dyDescent="0.35">
      <c r="A86" s="79">
        <v>1</v>
      </c>
      <c r="B86" s="79">
        <v>64</v>
      </c>
      <c r="C86" s="16" t="str">
        <f t="shared" si="9"/>
        <v>Wed</v>
      </c>
      <c r="D86" s="12">
        <v>44748</v>
      </c>
      <c r="E86">
        <f t="shared" si="24"/>
        <v>62</v>
      </c>
      <c r="F86" s="61">
        <f t="shared" si="14"/>
        <v>168</v>
      </c>
      <c r="G86" s="61">
        <f t="shared" si="27"/>
        <v>37</v>
      </c>
      <c r="H86" s="61">
        <f t="shared" si="15"/>
        <v>64</v>
      </c>
      <c r="I86" s="61">
        <f t="shared" si="16"/>
        <v>32</v>
      </c>
      <c r="J86" s="61">
        <f t="shared" si="17"/>
        <v>0</v>
      </c>
      <c r="K86" s="11">
        <f t="shared" si="18"/>
        <v>0.36904761904761907</v>
      </c>
      <c r="L86" s="11">
        <f t="shared" si="19"/>
        <v>8.9652537398577065E-2</v>
      </c>
      <c r="M86" s="11">
        <f t="shared" si="20"/>
        <v>0.50595238095238093</v>
      </c>
      <c r="N86" s="11">
        <f t="shared" si="21"/>
        <v>0.38304164419626657</v>
      </c>
      <c r="O86" s="11">
        <f t="shared" si="22"/>
        <v>0</v>
      </c>
      <c r="P86" s="11">
        <f t="shared" si="11"/>
        <v>0</v>
      </c>
      <c r="Q86" s="11">
        <f t="shared" si="23"/>
        <v>0.47269418159484367</v>
      </c>
      <c r="R86" s="20">
        <f t="shared" si="12"/>
        <v>1</v>
      </c>
      <c r="S86" s="56">
        <v>71.987241511220859</v>
      </c>
      <c r="T86" s="56">
        <v>57.263699229746045</v>
      </c>
      <c r="U86" s="56">
        <v>70.230017251420463</v>
      </c>
      <c r="V86" s="20">
        <f t="shared" si="25"/>
        <v>60.05620858659033</v>
      </c>
      <c r="W86" s="20">
        <f t="shared" ref="W86:W88" si="33">W85</f>
        <v>66.83178747478857</v>
      </c>
      <c r="X86" s="36"/>
      <c r="Y86" s="26"/>
      <c r="Z86" s="26"/>
      <c r="AA86" s="26"/>
      <c r="AB86" s="36"/>
      <c r="AC86" s="29"/>
      <c r="AD86" s="29"/>
      <c r="AE86" s="29"/>
      <c r="AF86" s="29"/>
      <c r="AG86" s="29"/>
      <c r="AH86" s="29"/>
      <c r="AI86" s="26"/>
      <c r="AJ86" s="26"/>
      <c r="AK86" s="26"/>
      <c r="AL86" s="26"/>
      <c r="AM86" s="26"/>
      <c r="AN86" s="26"/>
    </row>
    <row r="87" spans="1:49" x14ac:dyDescent="0.35">
      <c r="A87" s="79">
        <v>1</v>
      </c>
      <c r="B87" s="79">
        <v>65</v>
      </c>
      <c r="C87" s="16" t="str">
        <f t="shared" ref="C87:C147" si="34">TEXT(D87,"ddd")</f>
        <v>Thu</v>
      </c>
      <c r="D87" s="12">
        <v>44749</v>
      </c>
      <c r="E87">
        <f t="shared" si="24"/>
        <v>61</v>
      </c>
      <c r="F87" s="61">
        <f t="shared" si="14"/>
        <v>168</v>
      </c>
      <c r="G87" s="61">
        <f t="shared" ref="G87:G118" si="35">$E$18</f>
        <v>37</v>
      </c>
      <c r="H87" s="61">
        <f t="shared" si="15"/>
        <v>65</v>
      </c>
      <c r="I87" s="61">
        <f t="shared" si="16"/>
        <v>33</v>
      </c>
      <c r="J87" s="61">
        <f t="shared" si="17"/>
        <v>0</v>
      </c>
      <c r="K87" s="11">
        <f t="shared" si="18"/>
        <v>0.36309523809523808</v>
      </c>
      <c r="L87" s="11">
        <f t="shared" ref="L87:L147" si="36">K87*$D$6</f>
        <v>8.8206528730858075E-2</v>
      </c>
      <c r="M87" s="11">
        <f t="shared" si="20"/>
        <v>0.51190476190476186</v>
      </c>
      <c r="N87" s="11">
        <f t="shared" ref="N87:N147" si="37">M87*$D$7</f>
        <v>0.38754801648092851</v>
      </c>
      <c r="O87" s="11">
        <f t="shared" si="22"/>
        <v>0</v>
      </c>
      <c r="P87" s="11">
        <f t="shared" ref="P87:P147" si="38">O87*$D$6</f>
        <v>0</v>
      </c>
      <c r="Q87" s="11">
        <f t="shared" si="23"/>
        <v>0.47575454521178662</v>
      </c>
      <c r="R87" s="20">
        <f t="shared" ref="R87:R147" si="39">(L87/Q87)+(N87/Q87)+(P87/Q87)</f>
        <v>1</v>
      </c>
      <c r="S87" s="56">
        <v>70.547496680996446</v>
      </c>
      <c r="T87" s="56">
        <v>56.118425245151123</v>
      </c>
      <c r="U87" s="56">
        <v>68.82541690639205</v>
      </c>
      <c r="V87" s="20">
        <f t="shared" si="25"/>
        <v>58.793624708771425</v>
      </c>
      <c r="W87" s="20">
        <f t="shared" si="33"/>
        <v>66.83178747478857</v>
      </c>
      <c r="X87" s="36"/>
      <c r="Y87" s="26"/>
      <c r="Z87" s="26"/>
      <c r="AA87" s="26"/>
      <c r="AB87" s="36"/>
      <c r="AC87" s="29"/>
      <c r="AD87" s="29"/>
      <c r="AE87" s="29"/>
      <c r="AF87" s="29"/>
      <c r="AG87" s="29"/>
      <c r="AH87" s="29"/>
      <c r="AI87" s="26"/>
      <c r="AJ87" s="26"/>
      <c r="AK87" s="26"/>
      <c r="AL87" s="26"/>
      <c r="AM87" s="26"/>
      <c r="AN87" s="26"/>
    </row>
    <row r="88" spans="1:49" x14ac:dyDescent="0.35">
      <c r="A88" s="79">
        <v>1</v>
      </c>
      <c r="B88" s="79">
        <v>66</v>
      </c>
      <c r="C88" s="16" t="str">
        <f t="shared" si="34"/>
        <v>Fri</v>
      </c>
      <c r="D88" s="12">
        <v>44750</v>
      </c>
      <c r="E88">
        <f t="shared" si="24"/>
        <v>60</v>
      </c>
      <c r="F88" s="61">
        <f t="shared" ref="F88:F147" si="40">$E$19</f>
        <v>168</v>
      </c>
      <c r="G88" s="61">
        <f t="shared" si="35"/>
        <v>37</v>
      </c>
      <c r="H88" s="61">
        <f t="shared" ref="H88:H147" si="41">B88</f>
        <v>66</v>
      </c>
      <c r="I88" s="61">
        <f t="shared" ref="I88:I147" si="42">IF(D88&lt;$D$55,0,B88-32)</f>
        <v>34</v>
      </c>
      <c r="J88" s="61">
        <f t="shared" ref="J88:J147" si="43">IF(D88&lt;$D$126,0,B88-103)</f>
        <v>0</v>
      </c>
      <c r="K88" s="11">
        <f t="shared" ref="K88:K147" si="44">E88/F88</f>
        <v>0.35714285714285715</v>
      </c>
      <c r="L88" s="11">
        <f t="shared" si="36"/>
        <v>8.6760520063139099E-2</v>
      </c>
      <c r="M88" s="11">
        <f t="shared" ref="M88:M147" si="45">(G88+0.5*(H88-I88)+(I88-J88))/F88</f>
        <v>0.5178571428571429</v>
      </c>
      <c r="N88" s="11">
        <f t="shared" si="37"/>
        <v>0.39205438876559057</v>
      </c>
      <c r="O88" s="11">
        <f t="shared" ref="O88:O147" si="46">J88/F88</f>
        <v>0</v>
      </c>
      <c r="P88" s="11">
        <f t="shared" si="38"/>
        <v>0</v>
      </c>
      <c r="Q88" s="11">
        <f t="shared" ref="Q88:Q147" si="47">L88+N88+P88</f>
        <v>0.47881490882872968</v>
      </c>
      <c r="R88" s="20">
        <f t="shared" si="39"/>
        <v>1</v>
      </c>
      <c r="S88" s="56">
        <v>69.136546747376514</v>
      </c>
      <c r="T88" s="56">
        <v>54.9960567402481</v>
      </c>
      <c r="U88" s="56">
        <v>67.448908568264216</v>
      </c>
      <c r="V88" s="20">
        <f t="shared" ref="V88:V147" si="48">((S88*L88)+(T88*N88)+(U88*P88))/(L88+N88+P88)</f>
        <v>57.558291633825569</v>
      </c>
      <c r="W88" s="20">
        <f t="shared" si="33"/>
        <v>66.83178747478857</v>
      </c>
      <c r="X88" s="36"/>
      <c r="Y88" s="26"/>
      <c r="Z88" s="26"/>
      <c r="AA88" s="26"/>
      <c r="AB88" s="36"/>
      <c r="AC88" s="29"/>
      <c r="AD88" s="29"/>
      <c r="AE88" s="29"/>
      <c r="AF88" s="29"/>
      <c r="AG88" s="29"/>
      <c r="AH88" s="29"/>
      <c r="AI88" s="26"/>
      <c r="AJ88" s="26"/>
      <c r="AK88" s="26"/>
      <c r="AL88" s="26"/>
      <c r="AM88" s="26"/>
      <c r="AN88" s="26"/>
    </row>
    <row r="89" spans="1:49" x14ac:dyDescent="0.35">
      <c r="A89" s="79">
        <v>1</v>
      </c>
      <c r="B89" s="79">
        <v>67</v>
      </c>
      <c r="C89" s="16" t="str">
        <f t="shared" si="34"/>
        <v>Mon</v>
      </c>
      <c r="D89" s="12">
        <v>44753</v>
      </c>
      <c r="E89">
        <f t="shared" si="24"/>
        <v>59</v>
      </c>
      <c r="F89" s="61">
        <f t="shared" si="40"/>
        <v>168</v>
      </c>
      <c r="G89" s="61">
        <f t="shared" si="35"/>
        <v>37</v>
      </c>
      <c r="H89" s="61">
        <f t="shared" si="41"/>
        <v>67</v>
      </c>
      <c r="I89" s="61">
        <f t="shared" si="42"/>
        <v>35</v>
      </c>
      <c r="J89" s="61">
        <f t="shared" si="43"/>
        <v>0</v>
      </c>
      <c r="K89" s="11">
        <f t="shared" si="44"/>
        <v>0.35119047619047616</v>
      </c>
      <c r="L89" s="11">
        <f t="shared" si="36"/>
        <v>8.5314511395420095E-2</v>
      </c>
      <c r="M89" s="11">
        <f t="shared" si="45"/>
        <v>0.52380952380952384</v>
      </c>
      <c r="N89" s="11">
        <f t="shared" si="37"/>
        <v>0.39656076105025251</v>
      </c>
      <c r="O89" s="11">
        <f t="shared" si="46"/>
        <v>0</v>
      </c>
      <c r="P89" s="11">
        <f t="shared" si="38"/>
        <v>0</v>
      </c>
      <c r="Q89" s="11">
        <f t="shared" si="47"/>
        <v>0.48187527244567263</v>
      </c>
      <c r="R89" s="20">
        <f t="shared" si="39"/>
        <v>1</v>
      </c>
      <c r="S89" s="56">
        <v>67.753815812428982</v>
      </c>
      <c r="T89" s="56">
        <v>53.896135605443135</v>
      </c>
      <c r="U89" s="56">
        <v>66.099930396898927</v>
      </c>
      <c r="V89" s="20">
        <f t="shared" si="48"/>
        <v>56.349594588579215</v>
      </c>
      <c r="W89" s="20">
        <f>AVERAGE(V84:V88)</f>
        <v>60.084092669241294</v>
      </c>
      <c r="X89" s="36"/>
      <c r="Y89" s="26"/>
      <c r="Z89" s="26"/>
      <c r="AA89" s="26"/>
      <c r="AB89" s="36"/>
      <c r="AC89" s="29"/>
      <c r="AD89" s="29"/>
      <c r="AE89" s="29"/>
      <c r="AF89" s="29"/>
      <c r="AG89" s="29"/>
      <c r="AH89" s="29"/>
      <c r="AI89" s="26"/>
      <c r="AJ89" s="26"/>
      <c r="AK89" s="26"/>
      <c r="AL89" s="26"/>
      <c r="AM89" s="26"/>
      <c r="AN89" s="26"/>
    </row>
    <row r="90" spans="1:49" x14ac:dyDescent="0.35">
      <c r="A90" s="79">
        <v>1</v>
      </c>
      <c r="B90" s="79">
        <v>68</v>
      </c>
      <c r="C90" s="16" t="str">
        <f t="shared" si="34"/>
        <v>Tue</v>
      </c>
      <c r="D90" s="12">
        <v>44754</v>
      </c>
      <c r="E90">
        <f t="shared" ref="E90:E147" si="49">E89-1</f>
        <v>58</v>
      </c>
      <c r="F90" s="61">
        <f t="shared" si="40"/>
        <v>168</v>
      </c>
      <c r="G90" s="61">
        <f t="shared" si="35"/>
        <v>37</v>
      </c>
      <c r="H90" s="61">
        <f t="shared" si="41"/>
        <v>68</v>
      </c>
      <c r="I90" s="61">
        <f t="shared" si="42"/>
        <v>36</v>
      </c>
      <c r="J90" s="61">
        <f t="shared" si="43"/>
        <v>0</v>
      </c>
      <c r="K90" s="11">
        <f t="shared" si="44"/>
        <v>0.34523809523809523</v>
      </c>
      <c r="L90" s="11">
        <f t="shared" si="36"/>
        <v>8.3868502727701119E-2</v>
      </c>
      <c r="M90" s="11">
        <f t="shared" si="45"/>
        <v>0.52976190476190477</v>
      </c>
      <c r="N90" s="11">
        <f t="shared" si="37"/>
        <v>0.40106713333491445</v>
      </c>
      <c r="O90" s="11">
        <f t="shared" si="46"/>
        <v>0</v>
      </c>
      <c r="P90" s="11">
        <f t="shared" si="38"/>
        <v>0</v>
      </c>
      <c r="Q90" s="11">
        <f t="shared" si="47"/>
        <v>0.48493563606261558</v>
      </c>
      <c r="R90" s="20">
        <f t="shared" si="39"/>
        <v>1</v>
      </c>
      <c r="S90" s="56">
        <v>66.398739496180397</v>
      </c>
      <c r="T90" s="56">
        <v>52.81821289333427</v>
      </c>
      <c r="U90" s="56">
        <v>64.777931788960942</v>
      </c>
      <c r="V90" s="20">
        <f t="shared" si="48"/>
        <v>55.166933729118234</v>
      </c>
      <c r="W90" s="20">
        <f>W89</f>
        <v>60.084092669241294</v>
      </c>
      <c r="X90" s="36"/>
      <c r="Y90" s="26"/>
      <c r="Z90" s="26"/>
      <c r="AA90" s="26"/>
      <c r="AB90" s="36"/>
      <c r="AC90" s="29"/>
      <c r="AD90" s="29"/>
      <c r="AE90" s="29"/>
      <c r="AF90" s="29"/>
      <c r="AG90" s="29"/>
      <c r="AH90" s="29"/>
      <c r="AI90" s="26"/>
      <c r="AJ90" s="26"/>
      <c r="AK90" s="26"/>
      <c r="AL90" s="26"/>
      <c r="AM90" s="26"/>
      <c r="AN90" s="26"/>
    </row>
    <row r="91" spans="1:49" x14ac:dyDescent="0.35">
      <c r="A91" s="79">
        <v>1</v>
      </c>
      <c r="B91" s="79">
        <v>69</v>
      </c>
      <c r="C91" s="16" t="str">
        <f t="shared" si="34"/>
        <v>Wed</v>
      </c>
      <c r="D91" s="12">
        <v>44755</v>
      </c>
      <c r="E91">
        <f t="shared" si="49"/>
        <v>57</v>
      </c>
      <c r="F91" s="61">
        <f t="shared" si="40"/>
        <v>168</v>
      </c>
      <c r="G91" s="61">
        <f t="shared" si="35"/>
        <v>37</v>
      </c>
      <c r="H91" s="61">
        <f t="shared" si="41"/>
        <v>69</v>
      </c>
      <c r="I91" s="61">
        <f t="shared" si="42"/>
        <v>37</v>
      </c>
      <c r="J91" s="61">
        <f t="shared" si="43"/>
        <v>0</v>
      </c>
      <c r="K91" s="11">
        <f t="shared" si="44"/>
        <v>0.3392857142857143</v>
      </c>
      <c r="L91" s="11">
        <f t="shared" si="36"/>
        <v>8.2422494059982143E-2</v>
      </c>
      <c r="M91" s="11">
        <f t="shared" si="45"/>
        <v>0.5357142857142857</v>
      </c>
      <c r="N91" s="11">
        <f t="shared" si="37"/>
        <v>0.40557350561957639</v>
      </c>
      <c r="O91" s="11">
        <f t="shared" si="46"/>
        <v>0</v>
      </c>
      <c r="P91" s="11">
        <f t="shared" si="38"/>
        <v>0</v>
      </c>
      <c r="Q91" s="11">
        <f t="shared" si="47"/>
        <v>0.48799599967955853</v>
      </c>
      <c r="R91" s="20">
        <f t="shared" si="39"/>
        <v>1</v>
      </c>
      <c r="S91" s="56">
        <v>65.070764706256796</v>
      </c>
      <c r="T91" s="56">
        <v>51.761848635467587</v>
      </c>
      <c r="U91" s="56">
        <v>63.482373153181726</v>
      </c>
      <c r="V91" s="20">
        <f t="shared" si="48"/>
        <v>54.009723733849</v>
      </c>
      <c r="W91" s="20">
        <f t="shared" ref="W91:W93" si="50">W90</f>
        <v>60.084092669241294</v>
      </c>
      <c r="X91" s="36"/>
      <c r="Y91" s="26"/>
      <c r="Z91" s="26"/>
      <c r="AA91" s="26"/>
      <c r="AB91" s="36"/>
      <c r="AC91" s="29"/>
      <c r="AD91" s="29"/>
      <c r="AE91" s="29"/>
      <c r="AF91" s="29"/>
      <c r="AG91" s="29"/>
      <c r="AH91" s="29"/>
      <c r="AI91" s="26"/>
      <c r="AJ91" s="26"/>
      <c r="AK91" s="26"/>
      <c r="AL91" s="26"/>
      <c r="AM91" s="26"/>
      <c r="AN91" s="26"/>
    </row>
    <row r="92" spans="1:49" x14ac:dyDescent="0.35">
      <c r="A92" s="79">
        <v>1</v>
      </c>
      <c r="B92" s="79">
        <v>70</v>
      </c>
      <c r="C92" s="16" t="str">
        <f t="shared" si="34"/>
        <v>Thu</v>
      </c>
      <c r="D92" s="12">
        <v>44756</v>
      </c>
      <c r="E92">
        <f t="shared" si="49"/>
        <v>56</v>
      </c>
      <c r="F92" s="61">
        <f t="shared" si="40"/>
        <v>168</v>
      </c>
      <c r="G92" s="61">
        <f t="shared" si="35"/>
        <v>37</v>
      </c>
      <c r="H92" s="61">
        <f t="shared" si="41"/>
        <v>70</v>
      </c>
      <c r="I92" s="61">
        <f t="shared" si="42"/>
        <v>38</v>
      </c>
      <c r="J92" s="61">
        <f t="shared" si="43"/>
        <v>0</v>
      </c>
      <c r="K92" s="11">
        <f t="shared" si="44"/>
        <v>0.33333333333333331</v>
      </c>
      <c r="L92" s="11">
        <f t="shared" si="36"/>
        <v>8.0976485392263153E-2</v>
      </c>
      <c r="M92" s="11">
        <f t="shared" si="45"/>
        <v>0.54166666666666663</v>
      </c>
      <c r="N92" s="11">
        <f t="shared" si="37"/>
        <v>0.41007987790423833</v>
      </c>
      <c r="O92" s="11">
        <f t="shared" si="46"/>
        <v>0</v>
      </c>
      <c r="P92" s="11">
        <f t="shared" si="38"/>
        <v>0</v>
      </c>
      <c r="Q92" s="11">
        <f t="shared" si="47"/>
        <v>0.49105636329650149</v>
      </c>
      <c r="R92" s="20">
        <f t="shared" si="39"/>
        <v>1</v>
      </c>
      <c r="S92" s="56">
        <v>63.76934941213166</v>
      </c>
      <c r="T92" s="56">
        <v>50.726611662758238</v>
      </c>
      <c r="U92" s="56">
        <v>62.212725690118091</v>
      </c>
      <c r="V92" s="20">
        <f t="shared" si="48"/>
        <v>52.877393409576875</v>
      </c>
      <c r="W92" s="20">
        <f t="shared" si="50"/>
        <v>60.084092669241294</v>
      </c>
      <c r="X92" s="36"/>
      <c r="Y92" s="26"/>
      <c r="Z92" s="26"/>
      <c r="AA92" s="26"/>
      <c r="AB92" s="36"/>
      <c r="AC92" s="29"/>
      <c r="AD92" s="29"/>
      <c r="AE92" s="29"/>
      <c r="AF92" s="29"/>
      <c r="AG92" s="29"/>
      <c r="AH92" s="29"/>
      <c r="AI92" s="26"/>
      <c r="AJ92" s="26"/>
      <c r="AK92" s="26"/>
      <c r="AL92" s="26"/>
      <c r="AM92" s="26"/>
      <c r="AN92" s="26"/>
    </row>
    <row r="93" spans="1:49" x14ac:dyDescent="0.35">
      <c r="A93" s="79">
        <v>1</v>
      </c>
      <c r="B93" s="79">
        <v>71</v>
      </c>
      <c r="C93" s="16" t="str">
        <f t="shared" si="34"/>
        <v>Fri</v>
      </c>
      <c r="D93" s="12">
        <v>44757</v>
      </c>
      <c r="E93">
        <f t="shared" si="49"/>
        <v>55</v>
      </c>
      <c r="F93" s="61">
        <f t="shared" si="40"/>
        <v>168</v>
      </c>
      <c r="G93" s="61">
        <f t="shared" si="35"/>
        <v>37</v>
      </c>
      <c r="H93" s="61">
        <f t="shared" si="41"/>
        <v>71</v>
      </c>
      <c r="I93" s="61">
        <f t="shared" si="42"/>
        <v>39</v>
      </c>
      <c r="J93" s="61">
        <f t="shared" si="43"/>
        <v>0</v>
      </c>
      <c r="K93" s="11">
        <f t="shared" si="44"/>
        <v>0.32738095238095238</v>
      </c>
      <c r="L93" s="11">
        <f t="shared" si="36"/>
        <v>7.9530476724544164E-2</v>
      </c>
      <c r="M93" s="11">
        <f t="shared" si="45"/>
        <v>0.54761904761904767</v>
      </c>
      <c r="N93" s="11">
        <f t="shared" si="37"/>
        <v>0.41458625018890033</v>
      </c>
      <c r="O93" s="11">
        <f t="shared" si="46"/>
        <v>0</v>
      </c>
      <c r="P93" s="11">
        <f t="shared" si="38"/>
        <v>0</v>
      </c>
      <c r="Q93" s="11">
        <f t="shared" si="47"/>
        <v>0.49411672691344449</v>
      </c>
      <c r="R93" s="20">
        <f t="shared" si="39"/>
        <v>1</v>
      </c>
      <c r="S93" s="56">
        <v>62.49396242388903</v>
      </c>
      <c r="T93" s="56">
        <v>49.712079429503071</v>
      </c>
      <c r="U93" s="56">
        <v>60.968471176315731</v>
      </c>
      <c r="V93" s="20">
        <f t="shared" si="48"/>
        <v>51.769385310101065</v>
      </c>
      <c r="W93" s="20">
        <f t="shared" si="50"/>
        <v>60.084092669241294</v>
      </c>
      <c r="X93" s="36"/>
      <c r="Y93" s="26"/>
      <c r="Z93" s="26"/>
      <c r="AA93" s="26"/>
      <c r="AB93" s="36"/>
      <c r="AC93" s="29"/>
      <c r="AD93" s="29"/>
      <c r="AE93" s="29"/>
      <c r="AF93" s="29"/>
      <c r="AG93" s="29"/>
      <c r="AH93" s="29"/>
      <c r="AI93" s="26"/>
      <c r="AJ93" s="26"/>
      <c r="AK93" s="26"/>
      <c r="AL93" s="26"/>
      <c r="AM93" s="26"/>
      <c r="AN93" s="26"/>
    </row>
    <row r="94" spans="1:49" x14ac:dyDescent="0.35">
      <c r="A94" s="79">
        <v>1</v>
      </c>
      <c r="B94" s="79">
        <v>72</v>
      </c>
      <c r="C94" s="16" t="str">
        <f t="shared" si="34"/>
        <v>Mon</v>
      </c>
      <c r="D94" s="12">
        <v>44760</v>
      </c>
      <c r="E94">
        <f t="shared" si="49"/>
        <v>54</v>
      </c>
      <c r="F94" s="61">
        <f t="shared" si="40"/>
        <v>168</v>
      </c>
      <c r="G94" s="61">
        <f t="shared" si="35"/>
        <v>37</v>
      </c>
      <c r="H94" s="61">
        <f t="shared" si="41"/>
        <v>72</v>
      </c>
      <c r="I94" s="61">
        <f t="shared" si="42"/>
        <v>40</v>
      </c>
      <c r="J94" s="61">
        <f t="shared" si="43"/>
        <v>0</v>
      </c>
      <c r="K94" s="11">
        <f t="shared" si="44"/>
        <v>0.32142857142857145</v>
      </c>
      <c r="L94" s="11">
        <f t="shared" si="36"/>
        <v>7.8084468056825188E-2</v>
      </c>
      <c r="M94" s="11">
        <f t="shared" si="45"/>
        <v>0.5535714285714286</v>
      </c>
      <c r="N94" s="11">
        <f t="shared" si="37"/>
        <v>0.41909262247356227</v>
      </c>
      <c r="O94" s="11">
        <f t="shared" si="46"/>
        <v>0</v>
      </c>
      <c r="P94" s="11">
        <f t="shared" si="38"/>
        <v>0</v>
      </c>
      <c r="Q94" s="11">
        <f t="shared" si="47"/>
        <v>0.49717709053038744</v>
      </c>
      <c r="R94" s="20">
        <f t="shared" si="39"/>
        <v>1</v>
      </c>
      <c r="S94" s="56">
        <v>61.244083175411248</v>
      </c>
      <c r="T94" s="56">
        <v>48.717837840913006</v>
      </c>
      <c r="U94" s="56">
        <v>59.749101752789414</v>
      </c>
      <c r="V94" s="20">
        <f t="shared" si="48"/>
        <v>50.685155366847567</v>
      </c>
      <c r="W94" s="20">
        <f>AVERAGE(V89:V93)</f>
        <v>54.034606154244884</v>
      </c>
      <c r="X94" s="36"/>
      <c r="Y94" s="26"/>
      <c r="Z94" s="26"/>
      <c r="AA94" s="26"/>
      <c r="AB94" s="36"/>
      <c r="AC94" s="29"/>
      <c r="AD94" s="29"/>
      <c r="AE94" s="29"/>
      <c r="AF94" s="29"/>
      <c r="AG94" s="29"/>
      <c r="AH94" s="29"/>
      <c r="AI94" s="26"/>
      <c r="AJ94" s="26"/>
      <c r="AK94" s="26"/>
      <c r="AL94" s="26"/>
      <c r="AM94" s="26"/>
      <c r="AN94" s="26"/>
    </row>
    <row r="95" spans="1:49" x14ac:dyDescent="0.35">
      <c r="A95" s="79">
        <v>1</v>
      </c>
      <c r="B95" s="79">
        <v>73</v>
      </c>
      <c r="C95" s="16" t="str">
        <f t="shared" si="34"/>
        <v>Tue</v>
      </c>
      <c r="D95" s="12">
        <v>44761</v>
      </c>
      <c r="E95">
        <f t="shared" si="49"/>
        <v>53</v>
      </c>
      <c r="F95" s="61">
        <f t="shared" si="40"/>
        <v>168</v>
      </c>
      <c r="G95" s="61">
        <f t="shared" si="35"/>
        <v>37</v>
      </c>
      <c r="H95" s="61">
        <f t="shared" si="41"/>
        <v>73</v>
      </c>
      <c r="I95" s="61">
        <f t="shared" si="42"/>
        <v>41</v>
      </c>
      <c r="J95" s="61">
        <f t="shared" si="43"/>
        <v>0</v>
      </c>
      <c r="K95" s="11">
        <f t="shared" si="44"/>
        <v>0.31547619047619047</v>
      </c>
      <c r="L95" s="11">
        <f t="shared" si="36"/>
        <v>7.6638459389106198E-2</v>
      </c>
      <c r="M95" s="11">
        <f t="shared" si="45"/>
        <v>0.55952380952380953</v>
      </c>
      <c r="N95" s="11">
        <f t="shared" si="37"/>
        <v>0.42359899475822421</v>
      </c>
      <c r="O95" s="11">
        <f t="shared" si="46"/>
        <v>0</v>
      </c>
      <c r="P95" s="11">
        <f t="shared" si="38"/>
        <v>0</v>
      </c>
      <c r="Q95" s="11">
        <f t="shared" si="47"/>
        <v>0.50023745414733045</v>
      </c>
      <c r="R95" s="20">
        <f t="shared" si="39"/>
        <v>0.99999999999999989</v>
      </c>
      <c r="S95" s="56">
        <v>60.01920151190302</v>
      </c>
      <c r="T95" s="56">
        <v>47.743481084094746</v>
      </c>
      <c r="U95" s="56">
        <v>58.554119717733627</v>
      </c>
      <c r="V95" s="20">
        <f t="shared" si="48"/>
        <v>49.624172531084078</v>
      </c>
      <c r="W95" s="20">
        <f>W94</f>
        <v>54.034606154244884</v>
      </c>
      <c r="X95" s="36"/>
      <c r="Y95" s="26"/>
      <c r="Z95" s="26"/>
      <c r="AA95" s="26"/>
      <c r="AB95" s="36"/>
      <c r="AC95" s="29"/>
      <c r="AD95" s="29"/>
      <c r="AE95" s="29"/>
      <c r="AF95" s="29"/>
      <c r="AG95" s="29"/>
      <c r="AH95" s="29"/>
      <c r="AI95" s="26"/>
      <c r="AJ95" s="26"/>
      <c r="AK95" s="26"/>
      <c r="AL95" s="26"/>
      <c r="AM95" s="26"/>
      <c r="AN95" s="26"/>
    </row>
    <row r="96" spans="1:49" x14ac:dyDescent="0.35">
      <c r="A96" s="79">
        <v>1</v>
      </c>
      <c r="B96" s="79">
        <v>74</v>
      </c>
      <c r="C96" s="16" t="str">
        <f t="shared" si="34"/>
        <v>Wed</v>
      </c>
      <c r="D96" s="12">
        <v>44762</v>
      </c>
      <c r="E96">
        <f t="shared" si="49"/>
        <v>52</v>
      </c>
      <c r="F96" s="61">
        <f t="shared" si="40"/>
        <v>168</v>
      </c>
      <c r="G96" s="61">
        <f t="shared" si="35"/>
        <v>37</v>
      </c>
      <c r="H96" s="61">
        <f t="shared" si="41"/>
        <v>74</v>
      </c>
      <c r="I96" s="61">
        <f t="shared" si="42"/>
        <v>42</v>
      </c>
      <c r="J96" s="61">
        <f t="shared" si="43"/>
        <v>0</v>
      </c>
      <c r="K96" s="11">
        <f t="shared" si="44"/>
        <v>0.30952380952380953</v>
      </c>
      <c r="L96" s="11">
        <f t="shared" si="36"/>
        <v>7.5192450721387222E-2</v>
      </c>
      <c r="M96" s="11">
        <f t="shared" si="45"/>
        <v>0.56547619047619047</v>
      </c>
      <c r="N96" s="11">
        <f t="shared" si="37"/>
        <v>0.42810536704288621</v>
      </c>
      <c r="O96" s="11">
        <f t="shared" si="46"/>
        <v>0</v>
      </c>
      <c r="P96" s="11">
        <f t="shared" si="38"/>
        <v>0</v>
      </c>
      <c r="Q96" s="11">
        <f t="shared" si="47"/>
        <v>0.5032978177642734</v>
      </c>
      <c r="R96" s="20">
        <f t="shared" si="39"/>
        <v>1</v>
      </c>
      <c r="S96" s="56">
        <v>58.818817481664958</v>
      </c>
      <c r="T96" s="56">
        <v>46.788611462412852</v>
      </c>
      <c r="U96" s="56">
        <v>57.383037323378957</v>
      </c>
      <c r="V96" s="20">
        <f t="shared" si="48"/>
        <v>48.585918427281172</v>
      </c>
      <c r="W96" s="20">
        <f t="shared" ref="W96:W98" si="51">W95</f>
        <v>54.034606154244884</v>
      </c>
      <c r="X96" s="36"/>
      <c r="Y96" s="26"/>
      <c r="Z96" s="26"/>
      <c r="AA96" s="26"/>
      <c r="AB96" s="36"/>
      <c r="AC96" s="29"/>
      <c r="AD96" s="29"/>
      <c r="AE96" s="29"/>
      <c r="AF96" s="29"/>
      <c r="AG96" s="29"/>
      <c r="AH96" s="29"/>
      <c r="AI96" s="26"/>
      <c r="AJ96" s="26"/>
      <c r="AK96" s="26"/>
      <c r="AL96" s="26"/>
      <c r="AM96" s="26"/>
      <c r="AN96" s="26"/>
    </row>
    <row r="97" spans="1:40" x14ac:dyDescent="0.35">
      <c r="A97" s="79">
        <v>1</v>
      </c>
      <c r="B97" s="79">
        <v>75</v>
      </c>
      <c r="C97" s="16" t="str">
        <f t="shared" si="34"/>
        <v>Thu</v>
      </c>
      <c r="D97" s="12">
        <v>44763</v>
      </c>
      <c r="E97">
        <f t="shared" si="49"/>
        <v>51</v>
      </c>
      <c r="F97" s="61">
        <f t="shared" si="40"/>
        <v>168</v>
      </c>
      <c r="G97" s="61">
        <f t="shared" si="35"/>
        <v>37</v>
      </c>
      <c r="H97" s="61">
        <f t="shared" si="41"/>
        <v>75</v>
      </c>
      <c r="I97" s="61">
        <f t="shared" si="42"/>
        <v>43</v>
      </c>
      <c r="J97" s="61">
        <f t="shared" si="43"/>
        <v>0</v>
      </c>
      <c r="K97" s="11">
        <f t="shared" si="44"/>
        <v>0.30357142857142855</v>
      </c>
      <c r="L97" s="11">
        <f t="shared" si="36"/>
        <v>7.3746442053668218E-2</v>
      </c>
      <c r="M97" s="11">
        <f t="shared" si="45"/>
        <v>0.5714285714285714</v>
      </c>
      <c r="N97" s="11">
        <f t="shared" si="37"/>
        <v>0.43261173932754815</v>
      </c>
      <c r="O97" s="11">
        <f t="shared" si="46"/>
        <v>0</v>
      </c>
      <c r="P97" s="11">
        <f t="shared" si="38"/>
        <v>0</v>
      </c>
      <c r="Q97" s="11">
        <f t="shared" si="47"/>
        <v>0.50635818138121635</v>
      </c>
      <c r="R97" s="20">
        <f t="shared" si="39"/>
        <v>1</v>
      </c>
      <c r="S97" s="56">
        <v>57.642441132031657</v>
      </c>
      <c r="T97" s="56">
        <v>45.852839233164595</v>
      </c>
      <c r="U97" s="56">
        <v>56.235376576911378</v>
      </c>
      <c r="V97" s="20">
        <f t="shared" si="48"/>
        <v>47.569887017203563</v>
      </c>
      <c r="W97" s="20">
        <f t="shared" si="51"/>
        <v>54.034606154244884</v>
      </c>
      <c r="X97" s="36"/>
      <c r="Y97" s="26"/>
      <c r="Z97" s="26"/>
      <c r="AA97" s="26"/>
      <c r="AB97" s="36"/>
      <c r="AC97" s="29"/>
      <c r="AD97" s="29"/>
      <c r="AE97" s="29"/>
      <c r="AF97" s="29"/>
      <c r="AG97" s="29"/>
      <c r="AH97" s="29"/>
      <c r="AI97" s="26"/>
      <c r="AJ97" s="26"/>
      <c r="AK97" s="26"/>
      <c r="AL97" s="26"/>
      <c r="AM97" s="26"/>
      <c r="AN97" s="26"/>
    </row>
    <row r="98" spans="1:40" x14ac:dyDescent="0.35">
      <c r="A98" s="79">
        <v>1</v>
      </c>
      <c r="B98" s="79">
        <v>76</v>
      </c>
      <c r="C98" s="16" t="str">
        <f t="shared" si="34"/>
        <v>Fri</v>
      </c>
      <c r="D98" s="12">
        <v>44764</v>
      </c>
      <c r="E98">
        <f t="shared" si="49"/>
        <v>50</v>
      </c>
      <c r="F98" s="61">
        <f t="shared" si="40"/>
        <v>168</v>
      </c>
      <c r="G98" s="61">
        <f t="shared" si="35"/>
        <v>37</v>
      </c>
      <c r="H98" s="61">
        <f t="shared" si="41"/>
        <v>76</v>
      </c>
      <c r="I98" s="61">
        <f t="shared" si="42"/>
        <v>44</v>
      </c>
      <c r="J98" s="61">
        <f t="shared" si="43"/>
        <v>0</v>
      </c>
      <c r="K98" s="11">
        <f t="shared" si="44"/>
        <v>0.29761904761904762</v>
      </c>
      <c r="L98" s="11">
        <f t="shared" si="36"/>
        <v>7.2300433385949242E-2</v>
      </c>
      <c r="M98" s="11">
        <f t="shared" si="45"/>
        <v>0.57738095238095233</v>
      </c>
      <c r="N98" s="11">
        <f t="shared" si="37"/>
        <v>0.43711811161221009</v>
      </c>
      <c r="O98" s="11">
        <f t="shared" si="46"/>
        <v>0</v>
      </c>
      <c r="P98" s="11">
        <f t="shared" si="38"/>
        <v>0</v>
      </c>
      <c r="Q98" s="11">
        <f t="shared" si="47"/>
        <v>0.50941854499815931</v>
      </c>
      <c r="R98" s="20">
        <f t="shared" si="39"/>
        <v>1</v>
      </c>
      <c r="S98" s="56">
        <v>60.8</v>
      </c>
      <c r="T98" s="56">
        <v>44.9357824485013</v>
      </c>
      <c r="U98" s="56">
        <v>55.11066904537315</v>
      </c>
      <c r="V98" s="20">
        <f t="shared" si="48"/>
        <v>47.187349093579918</v>
      </c>
      <c r="W98" s="20">
        <f t="shared" si="51"/>
        <v>54.034606154244884</v>
      </c>
      <c r="X98" s="36"/>
      <c r="Y98" s="26"/>
      <c r="Z98" s="26"/>
      <c r="AA98" s="26"/>
      <c r="AB98" s="36"/>
      <c r="AC98" s="29"/>
      <c r="AD98" s="29"/>
      <c r="AE98" s="29"/>
      <c r="AF98" s="29"/>
      <c r="AG98" s="29"/>
      <c r="AH98" s="29"/>
      <c r="AI98" s="26"/>
      <c r="AJ98" s="26"/>
      <c r="AK98" s="26"/>
      <c r="AL98" s="26"/>
      <c r="AM98" s="26"/>
      <c r="AN98" s="26"/>
    </row>
    <row r="99" spans="1:40" x14ac:dyDescent="0.35">
      <c r="A99" s="79">
        <v>1</v>
      </c>
      <c r="B99" s="79">
        <v>77</v>
      </c>
      <c r="C99" s="16" t="str">
        <f t="shared" si="34"/>
        <v>Mon</v>
      </c>
      <c r="D99" s="12">
        <v>44767</v>
      </c>
      <c r="E99">
        <f t="shared" si="49"/>
        <v>49</v>
      </c>
      <c r="F99" s="61">
        <f t="shared" si="40"/>
        <v>168</v>
      </c>
      <c r="G99" s="61">
        <f t="shared" si="35"/>
        <v>37</v>
      </c>
      <c r="H99" s="61">
        <f t="shared" si="41"/>
        <v>77</v>
      </c>
      <c r="I99" s="61">
        <f t="shared" si="42"/>
        <v>45</v>
      </c>
      <c r="J99" s="61">
        <f t="shared" si="43"/>
        <v>0</v>
      </c>
      <c r="K99" s="11">
        <f t="shared" si="44"/>
        <v>0.29166666666666669</v>
      </c>
      <c r="L99" s="11">
        <f t="shared" si="36"/>
        <v>7.0854424718230266E-2</v>
      </c>
      <c r="M99" s="11">
        <f t="shared" si="45"/>
        <v>0.58333333333333337</v>
      </c>
      <c r="N99" s="11">
        <f t="shared" si="37"/>
        <v>0.44162448389687209</v>
      </c>
      <c r="O99" s="11">
        <f t="shared" si="46"/>
        <v>0</v>
      </c>
      <c r="P99" s="11">
        <f t="shared" si="38"/>
        <v>0</v>
      </c>
      <c r="Q99" s="11">
        <f t="shared" si="47"/>
        <v>0.51247890861510237</v>
      </c>
      <c r="R99" s="20">
        <f t="shared" si="39"/>
        <v>0.99999999999999989</v>
      </c>
      <c r="S99" s="56">
        <v>59.583999999999996</v>
      </c>
      <c r="T99" s="56">
        <v>44.037066799531274</v>
      </c>
      <c r="U99" s="56">
        <v>54.008455664465686</v>
      </c>
      <c r="V99" s="20">
        <f t="shared" si="48"/>
        <v>46.186558202072682</v>
      </c>
      <c r="W99" s="20">
        <f>AVERAGE(V94:V98)</f>
        <v>48.730496487199261</v>
      </c>
      <c r="X99" s="36"/>
      <c r="Y99" s="26"/>
      <c r="Z99" s="26"/>
      <c r="AA99" s="26"/>
      <c r="AB99" s="36"/>
      <c r="AC99" s="29"/>
      <c r="AD99" s="29"/>
      <c r="AE99" s="29"/>
      <c r="AF99" s="29"/>
      <c r="AG99" s="29"/>
      <c r="AH99" s="29"/>
      <c r="AI99" s="26"/>
      <c r="AJ99" s="26"/>
      <c r="AK99" s="26"/>
      <c r="AL99" s="26"/>
      <c r="AM99" s="26"/>
      <c r="AN99" s="26"/>
    </row>
    <row r="100" spans="1:40" x14ac:dyDescent="0.35">
      <c r="A100" s="79">
        <v>1</v>
      </c>
      <c r="B100" s="79">
        <v>78</v>
      </c>
      <c r="C100" s="16" t="str">
        <f t="shared" si="34"/>
        <v>Tue</v>
      </c>
      <c r="D100" s="12">
        <v>44768</v>
      </c>
      <c r="E100">
        <f t="shared" si="49"/>
        <v>48</v>
      </c>
      <c r="F100" s="61">
        <f t="shared" si="40"/>
        <v>168</v>
      </c>
      <c r="G100" s="61">
        <f t="shared" si="35"/>
        <v>37</v>
      </c>
      <c r="H100" s="61">
        <f t="shared" si="41"/>
        <v>78</v>
      </c>
      <c r="I100" s="61">
        <f t="shared" si="42"/>
        <v>46</v>
      </c>
      <c r="J100" s="61">
        <f t="shared" si="43"/>
        <v>0</v>
      </c>
      <c r="K100" s="11">
        <f t="shared" si="44"/>
        <v>0.2857142857142857</v>
      </c>
      <c r="L100" s="11">
        <f t="shared" si="36"/>
        <v>6.9408416050511276E-2</v>
      </c>
      <c r="M100" s="11">
        <f t="shared" si="45"/>
        <v>0.5892857142857143</v>
      </c>
      <c r="N100" s="11">
        <f t="shared" si="37"/>
        <v>0.44613085618153403</v>
      </c>
      <c r="O100" s="11">
        <f t="shared" si="46"/>
        <v>0</v>
      </c>
      <c r="P100" s="11">
        <f t="shared" si="38"/>
        <v>0</v>
      </c>
      <c r="Q100" s="11">
        <f t="shared" si="47"/>
        <v>0.51553927223204532</v>
      </c>
      <c r="R100" s="20">
        <f t="shared" si="39"/>
        <v>1</v>
      </c>
      <c r="S100" s="56">
        <v>58.392319999999998</v>
      </c>
      <c r="T100" s="56">
        <v>43.156325463540647</v>
      </c>
      <c r="U100" s="56">
        <v>52.92828655117637</v>
      </c>
      <c r="V100" s="20">
        <f t="shared" si="48"/>
        <v>45.207587713943752</v>
      </c>
      <c r="W100" s="20">
        <f>W99</f>
        <v>48.730496487199261</v>
      </c>
      <c r="X100" s="36"/>
      <c r="Y100" s="26"/>
      <c r="Z100" s="26"/>
      <c r="AA100" s="26"/>
      <c r="AB100" s="36"/>
      <c r="AC100" s="29"/>
      <c r="AD100" s="29"/>
      <c r="AE100" s="29"/>
      <c r="AF100" s="29"/>
      <c r="AG100" s="29"/>
      <c r="AH100" s="29"/>
      <c r="AI100" s="26"/>
      <c r="AJ100" s="26"/>
      <c r="AK100" s="26"/>
      <c r="AL100" s="26"/>
      <c r="AM100" s="26"/>
      <c r="AN100" s="26"/>
    </row>
    <row r="101" spans="1:40" x14ac:dyDescent="0.35">
      <c r="A101" s="79">
        <v>1</v>
      </c>
      <c r="B101" s="79">
        <v>79</v>
      </c>
      <c r="C101" s="16" t="str">
        <f t="shared" si="34"/>
        <v>Wed</v>
      </c>
      <c r="D101" s="12">
        <v>44769</v>
      </c>
      <c r="E101">
        <f t="shared" si="49"/>
        <v>47</v>
      </c>
      <c r="F101" s="61">
        <f t="shared" si="40"/>
        <v>168</v>
      </c>
      <c r="G101" s="61">
        <f t="shared" si="35"/>
        <v>37</v>
      </c>
      <c r="H101" s="61">
        <f t="shared" si="41"/>
        <v>79</v>
      </c>
      <c r="I101" s="61">
        <f t="shared" si="42"/>
        <v>47</v>
      </c>
      <c r="J101" s="61">
        <f t="shared" si="43"/>
        <v>0</v>
      </c>
      <c r="K101" s="11">
        <f t="shared" si="44"/>
        <v>0.27976190476190477</v>
      </c>
      <c r="L101" s="11">
        <f t="shared" si="36"/>
        <v>6.7962407382792286E-2</v>
      </c>
      <c r="M101" s="11">
        <f t="shared" si="45"/>
        <v>0.59523809523809523</v>
      </c>
      <c r="N101" s="11">
        <f t="shared" si="37"/>
        <v>0.45063722846619597</v>
      </c>
      <c r="O101" s="11">
        <f t="shared" si="46"/>
        <v>0</v>
      </c>
      <c r="P101" s="11">
        <f t="shared" si="38"/>
        <v>0</v>
      </c>
      <c r="Q101" s="11">
        <f t="shared" si="47"/>
        <v>0.51859963584898827</v>
      </c>
      <c r="R101" s="20">
        <f t="shared" si="39"/>
        <v>1</v>
      </c>
      <c r="S101" s="56">
        <v>57.224473599999996</v>
      </c>
      <c r="T101" s="56">
        <v>42.293198954269833</v>
      </c>
      <c r="U101" s="56">
        <v>51.869720820152843</v>
      </c>
      <c r="V101" s="20">
        <f t="shared" si="48"/>
        <v>44.249940340245196</v>
      </c>
      <c r="W101" s="20">
        <f t="shared" ref="W101:W103" si="52">W100</f>
        <v>48.730496487199261</v>
      </c>
      <c r="X101" s="36"/>
      <c r="Y101" s="26"/>
      <c r="Z101" s="26"/>
      <c r="AA101" s="26"/>
      <c r="AB101" s="36"/>
      <c r="AC101" s="29"/>
      <c r="AD101" s="29"/>
      <c r="AE101" s="29"/>
      <c r="AF101" s="29"/>
      <c r="AG101" s="29"/>
      <c r="AH101" s="29"/>
      <c r="AI101" s="26"/>
      <c r="AJ101" s="26"/>
      <c r="AK101" s="26"/>
      <c r="AL101" s="26"/>
      <c r="AM101" s="26"/>
      <c r="AN101" s="26"/>
    </row>
    <row r="102" spans="1:40" x14ac:dyDescent="0.35">
      <c r="A102" s="79">
        <v>1</v>
      </c>
      <c r="B102" s="79">
        <v>80</v>
      </c>
      <c r="C102" s="16" t="str">
        <f t="shared" si="34"/>
        <v>Thu</v>
      </c>
      <c r="D102" s="12">
        <v>44770</v>
      </c>
      <c r="E102">
        <f t="shared" si="49"/>
        <v>46</v>
      </c>
      <c r="F102" s="61">
        <f t="shared" si="40"/>
        <v>168</v>
      </c>
      <c r="G102" s="61">
        <f t="shared" si="35"/>
        <v>37</v>
      </c>
      <c r="H102" s="61">
        <f t="shared" si="41"/>
        <v>80</v>
      </c>
      <c r="I102" s="61">
        <f t="shared" si="42"/>
        <v>48</v>
      </c>
      <c r="J102" s="61">
        <f t="shared" si="43"/>
        <v>0</v>
      </c>
      <c r="K102" s="11">
        <f t="shared" si="44"/>
        <v>0.27380952380952384</v>
      </c>
      <c r="L102" s="11">
        <f t="shared" si="36"/>
        <v>6.651639871507331E-2</v>
      </c>
      <c r="M102" s="11">
        <f t="shared" si="45"/>
        <v>0.60119047619047616</v>
      </c>
      <c r="N102" s="11">
        <f t="shared" si="37"/>
        <v>0.45514360075085791</v>
      </c>
      <c r="O102" s="11">
        <f t="shared" si="46"/>
        <v>0</v>
      </c>
      <c r="P102" s="11">
        <f t="shared" si="38"/>
        <v>0</v>
      </c>
      <c r="Q102" s="11">
        <f t="shared" si="47"/>
        <v>0.52165999946593122</v>
      </c>
      <c r="R102" s="20">
        <f t="shared" si="39"/>
        <v>1</v>
      </c>
      <c r="S102" s="56">
        <v>56.079984128</v>
      </c>
      <c r="T102" s="56">
        <v>41.44733497518444</v>
      </c>
      <c r="U102" s="56">
        <v>50.832326403749789</v>
      </c>
      <c r="V102" s="20">
        <f t="shared" si="48"/>
        <v>43.313130946320662</v>
      </c>
      <c r="W102" s="20">
        <f t="shared" si="52"/>
        <v>48.730496487199261</v>
      </c>
      <c r="X102" s="36"/>
      <c r="Y102" s="26"/>
      <c r="Z102" s="26"/>
      <c r="AA102" s="26"/>
      <c r="AB102" s="36"/>
      <c r="AC102" s="29"/>
      <c r="AD102" s="29"/>
      <c r="AE102" s="29"/>
      <c r="AF102" s="29"/>
      <c r="AG102" s="29"/>
      <c r="AH102" s="29"/>
      <c r="AI102" s="26"/>
      <c r="AJ102" s="26"/>
      <c r="AK102" s="26"/>
      <c r="AL102" s="26"/>
      <c r="AM102" s="26"/>
      <c r="AN102" s="26"/>
    </row>
    <row r="103" spans="1:40" x14ac:dyDescent="0.35">
      <c r="A103" s="79">
        <v>1</v>
      </c>
      <c r="B103" s="79">
        <v>81</v>
      </c>
      <c r="C103" s="16" t="str">
        <f t="shared" si="34"/>
        <v>Fri</v>
      </c>
      <c r="D103" s="12">
        <v>44771</v>
      </c>
      <c r="E103">
        <f t="shared" si="49"/>
        <v>45</v>
      </c>
      <c r="F103" s="61">
        <f t="shared" si="40"/>
        <v>168</v>
      </c>
      <c r="G103" s="61">
        <f t="shared" si="35"/>
        <v>37</v>
      </c>
      <c r="H103" s="61">
        <f t="shared" si="41"/>
        <v>81</v>
      </c>
      <c r="I103" s="61">
        <f t="shared" si="42"/>
        <v>49</v>
      </c>
      <c r="J103" s="61">
        <f t="shared" si="43"/>
        <v>0</v>
      </c>
      <c r="K103" s="11">
        <f t="shared" si="44"/>
        <v>0.26785714285714285</v>
      </c>
      <c r="L103" s="11">
        <f t="shared" si="36"/>
        <v>6.5070390047354321E-2</v>
      </c>
      <c r="M103" s="11">
        <f t="shared" si="45"/>
        <v>0.6071428571428571</v>
      </c>
      <c r="N103" s="11">
        <f t="shared" si="37"/>
        <v>0.45964997303551985</v>
      </c>
      <c r="O103" s="11">
        <f t="shared" si="46"/>
        <v>0</v>
      </c>
      <c r="P103" s="11">
        <f t="shared" si="38"/>
        <v>0</v>
      </c>
      <c r="Q103" s="11">
        <f t="shared" si="47"/>
        <v>0.52472036308287417</v>
      </c>
      <c r="R103" s="20">
        <f t="shared" si="39"/>
        <v>1</v>
      </c>
      <c r="S103" s="56">
        <v>54.958384445439997</v>
      </c>
      <c r="T103" s="56">
        <v>40.618388275680751</v>
      </c>
      <c r="U103" s="56">
        <v>53.2</v>
      </c>
      <c r="V103" s="20">
        <f t="shared" si="48"/>
        <v>42.396686221964998</v>
      </c>
      <c r="W103" s="20">
        <f t="shared" si="52"/>
        <v>48.730496487199261</v>
      </c>
      <c r="X103" s="36"/>
      <c r="Y103" s="26"/>
      <c r="Z103" s="26"/>
      <c r="AA103" s="26"/>
      <c r="AB103" s="36"/>
      <c r="AC103" s="29"/>
      <c r="AD103" s="29"/>
      <c r="AE103" s="29"/>
      <c r="AF103" s="29"/>
      <c r="AG103" s="29"/>
      <c r="AH103" s="29"/>
      <c r="AI103" s="26"/>
      <c r="AJ103" s="26"/>
      <c r="AK103" s="26"/>
      <c r="AL103" s="26"/>
      <c r="AM103" s="26"/>
      <c r="AN103" s="26"/>
    </row>
    <row r="104" spans="1:40" x14ac:dyDescent="0.35">
      <c r="A104" s="79">
        <v>1</v>
      </c>
      <c r="B104" s="79">
        <v>82</v>
      </c>
      <c r="C104" s="16" t="str">
        <f t="shared" si="34"/>
        <v>Mon</v>
      </c>
      <c r="D104" s="12">
        <v>44774</v>
      </c>
      <c r="E104">
        <f t="shared" si="49"/>
        <v>44</v>
      </c>
      <c r="F104" s="61">
        <f t="shared" si="40"/>
        <v>168</v>
      </c>
      <c r="G104" s="61">
        <f t="shared" si="35"/>
        <v>37</v>
      </c>
      <c r="H104" s="61">
        <f t="shared" si="41"/>
        <v>82</v>
      </c>
      <c r="I104" s="61">
        <f t="shared" si="42"/>
        <v>50</v>
      </c>
      <c r="J104" s="61">
        <f t="shared" si="43"/>
        <v>0</v>
      </c>
      <c r="K104" s="11">
        <f t="shared" si="44"/>
        <v>0.26190476190476192</v>
      </c>
      <c r="L104" s="11">
        <f t="shared" si="36"/>
        <v>6.3624381379635345E-2</v>
      </c>
      <c r="M104" s="11">
        <f t="shared" si="45"/>
        <v>0.61309523809523814</v>
      </c>
      <c r="N104" s="11">
        <f t="shared" si="37"/>
        <v>0.46415634532018191</v>
      </c>
      <c r="O104" s="11">
        <f t="shared" si="46"/>
        <v>0</v>
      </c>
      <c r="P104" s="11">
        <f t="shared" si="38"/>
        <v>0</v>
      </c>
      <c r="Q104" s="11">
        <f t="shared" si="47"/>
        <v>0.52778072669981724</v>
      </c>
      <c r="R104" s="20">
        <f t="shared" si="39"/>
        <v>1</v>
      </c>
      <c r="S104" s="56">
        <v>53.859216756531197</v>
      </c>
      <c r="T104" s="56">
        <v>39.806020510167137</v>
      </c>
      <c r="U104" s="56">
        <v>52.136000000000003</v>
      </c>
      <c r="V104" s="20">
        <f t="shared" si="48"/>
        <v>41.500144361889511</v>
      </c>
      <c r="W104" s="20">
        <f>AVERAGE(V99:V103)</f>
        <v>44.270780684909461</v>
      </c>
      <c r="X104" s="36"/>
      <c r="Y104" s="26"/>
      <c r="Z104" s="26"/>
      <c r="AA104" s="26"/>
      <c r="AB104" s="36"/>
      <c r="AC104" s="29"/>
      <c r="AD104" s="29"/>
      <c r="AE104" s="29"/>
      <c r="AF104" s="29"/>
      <c r="AG104" s="29"/>
      <c r="AH104" s="29"/>
      <c r="AI104" s="26"/>
      <c r="AJ104" s="26"/>
      <c r="AK104" s="26"/>
      <c r="AL104" s="26"/>
      <c r="AM104" s="26"/>
      <c r="AN104" s="26"/>
    </row>
    <row r="105" spans="1:40" x14ac:dyDescent="0.35">
      <c r="A105" s="79">
        <v>1</v>
      </c>
      <c r="B105" s="79">
        <v>83</v>
      </c>
      <c r="C105" s="16" t="str">
        <f t="shared" si="34"/>
        <v>Tue</v>
      </c>
      <c r="D105" s="12">
        <v>44775</v>
      </c>
      <c r="E105">
        <f t="shared" si="49"/>
        <v>43</v>
      </c>
      <c r="F105" s="61">
        <f t="shared" si="40"/>
        <v>168</v>
      </c>
      <c r="G105" s="61">
        <f t="shared" si="35"/>
        <v>37</v>
      </c>
      <c r="H105" s="61">
        <f t="shared" si="41"/>
        <v>83</v>
      </c>
      <c r="I105" s="61">
        <f t="shared" si="42"/>
        <v>51</v>
      </c>
      <c r="J105" s="61">
        <f t="shared" si="43"/>
        <v>0</v>
      </c>
      <c r="K105" s="11">
        <f t="shared" si="44"/>
        <v>0.25595238095238093</v>
      </c>
      <c r="L105" s="11">
        <f t="shared" si="36"/>
        <v>6.2178372711916348E-2</v>
      </c>
      <c r="M105" s="11">
        <f t="shared" si="45"/>
        <v>0.61904761904761907</v>
      </c>
      <c r="N105" s="11">
        <f t="shared" si="37"/>
        <v>0.46866271760484385</v>
      </c>
      <c r="O105" s="11">
        <f t="shared" si="46"/>
        <v>0</v>
      </c>
      <c r="P105" s="11">
        <f t="shared" si="38"/>
        <v>0</v>
      </c>
      <c r="Q105" s="11">
        <f t="shared" si="47"/>
        <v>0.53084109031676019</v>
      </c>
      <c r="R105" s="20">
        <f t="shared" si="39"/>
        <v>1</v>
      </c>
      <c r="S105" s="56">
        <v>52.782032421400572</v>
      </c>
      <c r="T105" s="56">
        <v>39.009900099963794</v>
      </c>
      <c r="U105" s="56">
        <v>51.09328</v>
      </c>
      <c r="V105" s="20">
        <f t="shared" si="48"/>
        <v>40.623054756113611</v>
      </c>
      <c r="W105" s="20">
        <f>W104</f>
        <v>44.270780684909461</v>
      </c>
      <c r="X105" s="36"/>
      <c r="Y105" s="26"/>
      <c r="Z105" s="26"/>
      <c r="AA105" s="26"/>
      <c r="AB105" s="36"/>
      <c r="AC105" s="29"/>
      <c r="AD105" s="29"/>
      <c r="AE105" s="29"/>
      <c r="AF105" s="29"/>
      <c r="AG105" s="29"/>
      <c r="AH105" s="29"/>
      <c r="AI105" s="26"/>
      <c r="AJ105" s="26"/>
      <c r="AK105" s="26"/>
      <c r="AL105" s="26"/>
      <c r="AM105" s="26"/>
      <c r="AN105" s="26"/>
    </row>
    <row r="106" spans="1:40" x14ac:dyDescent="0.35">
      <c r="A106" s="79">
        <v>1</v>
      </c>
      <c r="B106" s="79">
        <v>84</v>
      </c>
      <c r="C106" s="16" t="str">
        <f t="shared" si="34"/>
        <v>Wed</v>
      </c>
      <c r="D106" s="12">
        <v>44776</v>
      </c>
      <c r="E106">
        <f t="shared" si="49"/>
        <v>42</v>
      </c>
      <c r="F106" s="61">
        <f t="shared" si="40"/>
        <v>168</v>
      </c>
      <c r="G106" s="61">
        <f t="shared" si="35"/>
        <v>37</v>
      </c>
      <c r="H106" s="61">
        <f t="shared" si="41"/>
        <v>84</v>
      </c>
      <c r="I106" s="61">
        <f t="shared" si="42"/>
        <v>52</v>
      </c>
      <c r="J106" s="61">
        <f t="shared" si="43"/>
        <v>0</v>
      </c>
      <c r="K106" s="11">
        <f t="shared" si="44"/>
        <v>0.25</v>
      </c>
      <c r="L106" s="11">
        <f t="shared" si="36"/>
        <v>6.0732364044197365E-2</v>
      </c>
      <c r="M106" s="11">
        <f t="shared" si="45"/>
        <v>0.625</v>
      </c>
      <c r="N106" s="11">
        <f t="shared" si="37"/>
        <v>0.47316908988950579</v>
      </c>
      <c r="O106" s="11">
        <f t="shared" si="46"/>
        <v>0</v>
      </c>
      <c r="P106" s="11">
        <f t="shared" si="38"/>
        <v>0</v>
      </c>
      <c r="Q106" s="11">
        <f t="shared" si="47"/>
        <v>0.53390145393370314</v>
      </c>
      <c r="R106" s="20">
        <f t="shared" si="39"/>
        <v>1</v>
      </c>
      <c r="S106" s="56">
        <v>51.726391772972562</v>
      </c>
      <c r="T106" s="56">
        <v>38.22970209796452</v>
      </c>
      <c r="U106" s="56">
        <v>50.071414400000002</v>
      </c>
      <c r="V106" s="20">
        <f t="shared" si="48"/>
        <v>39.764977689920357</v>
      </c>
      <c r="W106" s="20">
        <f t="shared" ref="W106:W108" si="53">W105</f>
        <v>44.270780684909461</v>
      </c>
      <c r="X106" s="36"/>
      <c r="Y106" s="26"/>
      <c r="Z106" s="26"/>
      <c r="AA106" s="26"/>
      <c r="AB106" s="36"/>
      <c r="AC106" s="29"/>
      <c r="AD106" s="29"/>
      <c r="AE106" s="29"/>
      <c r="AF106" s="29"/>
      <c r="AG106" s="29"/>
      <c r="AH106" s="29"/>
      <c r="AI106" s="26"/>
      <c r="AJ106" s="26"/>
      <c r="AK106" s="26"/>
      <c r="AL106" s="26"/>
      <c r="AM106" s="26"/>
      <c r="AN106" s="26"/>
    </row>
    <row r="107" spans="1:40" x14ac:dyDescent="0.35">
      <c r="A107" s="79">
        <v>1</v>
      </c>
      <c r="B107" s="79">
        <v>85</v>
      </c>
      <c r="C107" s="16" t="str">
        <f t="shared" si="34"/>
        <v>Thu</v>
      </c>
      <c r="D107" s="12">
        <v>44777</v>
      </c>
      <c r="E107">
        <f t="shared" si="49"/>
        <v>41</v>
      </c>
      <c r="F107" s="61">
        <f t="shared" si="40"/>
        <v>168</v>
      </c>
      <c r="G107" s="61">
        <f t="shared" si="35"/>
        <v>37</v>
      </c>
      <c r="H107" s="61">
        <f t="shared" si="41"/>
        <v>85</v>
      </c>
      <c r="I107" s="61">
        <f t="shared" si="42"/>
        <v>53</v>
      </c>
      <c r="J107" s="61">
        <f t="shared" si="43"/>
        <v>0</v>
      </c>
      <c r="K107" s="11">
        <f t="shared" si="44"/>
        <v>0.24404761904761904</v>
      </c>
      <c r="L107" s="11">
        <f t="shared" si="36"/>
        <v>5.9286355376478375E-2</v>
      </c>
      <c r="M107" s="11">
        <f t="shared" si="45"/>
        <v>0.63095238095238093</v>
      </c>
      <c r="N107" s="11">
        <f t="shared" si="37"/>
        <v>0.47767546217416773</v>
      </c>
      <c r="O107" s="11">
        <f t="shared" si="46"/>
        <v>0</v>
      </c>
      <c r="P107" s="11">
        <f t="shared" si="38"/>
        <v>0</v>
      </c>
      <c r="Q107" s="11">
        <f t="shared" si="47"/>
        <v>0.53696181755064609</v>
      </c>
      <c r="R107" s="20">
        <f t="shared" si="39"/>
        <v>1</v>
      </c>
      <c r="S107" s="56">
        <v>50.691863937513112</v>
      </c>
      <c r="T107" s="56">
        <v>45.9</v>
      </c>
      <c r="U107" s="56">
        <v>49.069986112000002</v>
      </c>
      <c r="V107" s="20">
        <f t="shared" si="48"/>
        <v>46.429073276776037</v>
      </c>
      <c r="W107" s="20">
        <f t="shared" si="53"/>
        <v>44.270780684909461</v>
      </c>
      <c r="X107" s="36"/>
      <c r="Y107" s="26"/>
      <c r="Z107" s="26"/>
      <c r="AA107" s="26"/>
      <c r="AB107" s="36"/>
      <c r="AC107" s="29"/>
      <c r="AD107" s="29"/>
      <c r="AE107" s="29"/>
      <c r="AF107" s="29"/>
      <c r="AG107" s="29"/>
      <c r="AH107" s="29"/>
      <c r="AI107" s="26"/>
      <c r="AJ107" s="26"/>
      <c r="AK107" s="26"/>
      <c r="AL107" s="26"/>
      <c r="AM107" s="26"/>
      <c r="AN107" s="26"/>
    </row>
    <row r="108" spans="1:40" x14ac:dyDescent="0.35">
      <c r="A108" s="79">
        <v>1</v>
      </c>
      <c r="B108" s="79">
        <v>86</v>
      </c>
      <c r="C108" s="16" t="str">
        <f t="shared" si="34"/>
        <v>Fri</v>
      </c>
      <c r="D108" s="12">
        <v>44778</v>
      </c>
      <c r="E108">
        <f t="shared" si="49"/>
        <v>40</v>
      </c>
      <c r="F108" s="61">
        <f t="shared" si="40"/>
        <v>168</v>
      </c>
      <c r="G108" s="61">
        <f t="shared" si="35"/>
        <v>37</v>
      </c>
      <c r="H108" s="61">
        <f t="shared" si="41"/>
        <v>86</v>
      </c>
      <c r="I108" s="61">
        <f t="shared" si="42"/>
        <v>54</v>
      </c>
      <c r="J108" s="61">
        <f t="shared" si="43"/>
        <v>0</v>
      </c>
      <c r="K108" s="11">
        <f t="shared" si="44"/>
        <v>0.23809523809523808</v>
      </c>
      <c r="L108" s="11">
        <f t="shared" si="36"/>
        <v>5.7840346708759392E-2</v>
      </c>
      <c r="M108" s="11">
        <f t="shared" si="45"/>
        <v>0.63690476190476186</v>
      </c>
      <c r="N108" s="11">
        <f t="shared" si="37"/>
        <v>0.48218183445882967</v>
      </c>
      <c r="O108" s="11">
        <f t="shared" si="46"/>
        <v>0</v>
      </c>
      <c r="P108" s="11">
        <f t="shared" si="38"/>
        <v>0</v>
      </c>
      <c r="Q108" s="11">
        <f t="shared" si="47"/>
        <v>0.54002218116758904</v>
      </c>
      <c r="R108" s="20">
        <f t="shared" si="39"/>
        <v>1</v>
      </c>
      <c r="S108" s="56">
        <v>49.678026658762853</v>
      </c>
      <c r="T108" s="56">
        <v>44.981999999999999</v>
      </c>
      <c r="U108" s="56">
        <v>48.088586389760003</v>
      </c>
      <c r="V108" s="20">
        <f t="shared" si="48"/>
        <v>45.484978987842958</v>
      </c>
      <c r="W108" s="20">
        <f t="shared" si="53"/>
        <v>44.270780684909461</v>
      </c>
      <c r="X108" s="36"/>
      <c r="Y108" s="26"/>
      <c r="Z108" s="26"/>
      <c r="AA108" s="26"/>
      <c r="AB108" s="36"/>
      <c r="AC108" s="29"/>
      <c r="AD108" s="29"/>
      <c r="AE108" s="29"/>
      <c r="AF108" s="29"/>
      <c r="AG108" s="29"/>
      <c r="AH108" s="29"/>
      <c r="AI108" s="26"/>
      <c r="AJ108" s="26"/>
      <c r="AK108" s="26"/>
      <c r="AL108" s="26"/>
      <c r="AM108" s="26"/>
      <c r="AN108" s="26"/>
    </row>
    <row r="109" spans="1:40" x14ac:dyDescent="0.35">
      <c r="A109" s="79">
        <v>1</v>
      </c>
      <c r="B109" s="79">
        <v>87</v>
      </c>
      <c r="C109" s="16" t="str">
        <f t="shared" si="34"/>
        <v>Mon</v>
      </c>
      <c r="D109" s="12">
        <v>44781</v>
      </c>
      <c r="E109">
        <f t="shared" si="49"/>
        <v>39</v>
      </c>
      <c r="F109" s="61">
        <f t="shared" si="40"/>
        <v>168</v>
      </c>
      <c r="G109" s="61">
        <f t="shared" si="35"/>
        <v>37</v>
      </c>
      <c r="H109" s="61">
        <f t="shared" si="41"/>
        <v>87</v>
      </c>
      <c r="I109" s="61">
        <f t="shared" si="42"/>
        <v>55</v>
      </c>
      <c r="J109" s="61">
        <f t="shared" si="43"/>
        <v>0</v>
      </c>
      <c r="K109" s="11">
        <f t="shared" si="44"/>
        <v>0.23214285714285715</v>
      </c>
      <c r="L109" s="11">
        <f t="shared" si="36"/>
        <v>5.6394338041040409E-2</v>
      </c>
      <c r="M109" s="11">
        <f t="shared" si="45"/>
        <v>0.6428571428571429</v>
      </c>
      <c r="N109" s="11">
        <f t="shared" si="37"/>
        <v>0.48668820674349172</v>
      </c>
      <c r="O109" s="11">
        <f t="shared" si="46"/>
        <v>0</v>
      </c>
      <c r="P109" s="11">
        <f t="shared" si="38"/>
        <v>0</v>
      </c>
      <c r="Q109" s="11">
        <f t="shared" si="47"/>
        <v>0.54308254478453211</v>
      </c>
      <c r="R109" s="20">
        <f t="shared" si="39"/>
        <v>1</v>
      </c>
      <c r="S109" s="56">
        <v>48.684466125587598</v>
      </c>
      <c r="T109" s="56">
        <v>58.2</v>
      </c>
      <c r="U109" s="56">
        <v>47.126814661964801</v>
      </c>
      <c r="V109" s="20">
        <f t="shared" si="48"/>
        <v>57.211895633347069</v>
      </c>
      <c r="W109" s="20">
        <f>AVERAGE(V104:V108)</f>
        <v>42.7604458145085</v>
      </c>
      <c r="X109" s="36"/>
      <c r="Y109" s="26"/>
      <c r="Z109" s="26"/>
      <c r="AA109" s="26"/>
      <c r="AB109" s="36"/>
      <c r="AC109" s="29"/>
      <c r="AD109" s="29"/>
      <c r="AE109" s="29"/>
      <c r="AF109" s="29"/>
      <c r="AG109" s="29"/>
      <c r="AH109" s="29"/>
      <c r="AI109" s="26"/>
      <c r="AJ109" s="26"/>
      <c r="AK109" s="26"/>
      <c r="AL109" s="26"/>
      <c r="AM109" s="26"/>
      <c r="AN109" s="26"/>
    </row>
    <row r="110" spans="1:40" x14ac:dyDescent="0.35">
      <c r="A110" s="79">
        <v>1</v>
      </c>
      <c r="B110" s="79">
        <v>88</v>
      </c>
      <c r="C110" s="16" t="str">
        <f t="shared" si="34"/>
        <v>Tue</v>
      </c>
      <c r="D110" s="12">
        <v>44782</v>
      </c>
      <c r="E110">
        <f t="shared" si="49"/>
        <v>38</v>
      </c>
      <c r="F110" s="61">
        <f t="shared" si="40"/>
        <v>168</v>
      </c>
      <c r="G110" s="61">
        <f t="shared" si="35"/>
        <v>37</v>
      </c>
      <c r="H110" s="61">
        <f t="shared" si="41"/>
        <v>88</v>
      </c>
      <c r="I110" s="61">
        <f t="shared" si="42"/>
        <v>56</v>
      </c>
      <c r="J110" s="61">
        <f t="shared" si="43"/>
        <v>0</v>
      </c>
      <c r="K110" s="11">
        <f t="shared" si="44"/>
        <v>0.22619047619047619</v>
      </c>
      <c r="L110" s="11">
        <f t="shared" si="36"/>
        <v>5.4948329373321426E-2</v>
      </c>
      <c r="M110" s="11">
        <f t="shared" si="45"/>
        <v>0.64880952380952384</v>
      </c>
      <c r="N110" s="11">
        <f t="shared" si="37"/>
        <v>0.49119457902815367</v>
      </c>
      <c r="O110" s="11">
        <f t="shared" si="46"/>
        <v>0</v>
      </c>
      <c r="P110" s="11">
        <f t="shared" si="38"/>
        <v>0</v>
      </c>
      <c r="Q110" s="11">
        <f t="shared" si="47"/>
        <v>0.54614290840147506</v>
      </c>
      <c r="R110" s="20">
        <f t="shared" si="39"/>
        <v>1</v>
      </c>
      <c r="S110" s="56">
        <v>47.710776803075845</v>
      </c>
      <c r="T110" s="56">
        <v>57.036000000000001</v>
      </c>
      <c r="U110" s="56">
        <v>46.184278368725508</v>
      </c>
      <c r="V110" s="20">
        <f t="shared" si="48"/>
        <v>56.097774074474202</v>
      </c>
      <c r="W110" s="20">
        <f>W109</f>
        <v>42.7604458145085</v>
      </c>
      <c r="X110" s="36"/>
      <c r="Y110" s="26"/>
      <c r="Z110" s="26"/>
      <c r="AA110" s="26"/>
      <c r="AB110" s="36"/>
      <c r="AC110" s="29"/>
      <c r="AD110" s="29"/>
      <c r="AE110" s="29"/>
      <c r="AF110" s="29"/>
      <c r="AG110" s="29"/>
      <c r="AH110" s="29"/>
      <c r="AI110" s="26"/>
      <c r="AJ110" s="26"/>
      <c r="AK110" s="26"/>
      <c r="AL110" s="26"/>
      <c r="AM110" s="26"/>
      <c r="AN110" s="26"/>
    </row>
    <row r="111" spans="1:40" x14ac:dyDescent="0.35">
      <c r="A111" s="79">
        <v>1</v>
      </c>
      <c r="B111" s="79">
        <v>89</v>
      </c>
      <c r="C111" s="16" t="str">
        <f t="shared" si="34"/>
        <v>Wed</v>
      </c>
      <c r="D111" s="12">
        <v>44783</v>
      </c>
      <c r="E111">
        <f t="shared" si="49"/>
        <v>37</v>
      </c>
      <c r="F111" s="61">
        <f t="shared" si="40"/>
        <v>168</v>
      </c>
      <c r="G111" s="61">
        <f t="shared" si="35"/>
        <v>37</v>
      </c>
      <c r="H111" s="61">
        <f t="shared" si="41"/>
        <v>89</v>
      </c>
      <c r="I111" s="61">
        <f t="shared" si="42"/>
        <v>57</v>
      </c>
      <c r="J111" s="61">
        <f t="shared" si="43"/>
        <v>0</v>
      </c>
      <c r="K111" s="11">
        <f t="shared" si="44"/>
        <v>0.22023809523809523</v>
      </c>
      <c r="L111" s="11">
        <f t="shared" si="36"/>
        <v>5.3502320705602437E-2</v>
      </c>
      <c r="M111" s="11">
        <f t="shared" si="45"/>
        <v>0.65476190476190477</v>
      </c>
      <c r="N111" s="11">
        <f t="shared" si="37"/>
        <v>0.49570095131281561</v>
      </c>
      <c r="O111" s="11">
        <f t="shared" si="46"/>
        <v>0</v>
      </c>
      <c r="P111" s="11">
        <f t="shared" si="38"/>
        <v>0</v>
      </c>
      <c r="Q111" s="11">
        <f t="shared" si="47"/>
        <v>0.54920327201841801</v>
      </c>
      <c r="R111" s="20">
        <f t="shared" si="39"/>
        <v>1</v>
      </c>
      <c r="S111" s="56">
        <v>46.756561267014327</v>
      </c>
      <c r="T111" s="56">
        <v>55.89528</v>
      </c>
      <c r="U111" s="56">
        <v>45.260592801350995</v>
      </c>
      <c r="V111" s="20">
        <f t="shared" si="48"/>
        <v>55.005003693572426</v>
      </c>
      <c r="W111" s="20">
        <f t="shared" ref="W111:W113" si="54">W110</f>
        <v>42.7604458145085</v>
      </c>
      <c r="X111" s="36"/>
      <c r="Y111" s="26"/>
      <c r="Z111" s="26"/>
      <c r="AA111" s="26"/>
      <c r="AB111" s="36"/>
      <c r="AC111" s="29"/>
      <c r="AD111" s="29"/>
      <c r="AE111" s="29"/>
      <c r="AF111" s="29"/>
      <c r="AG111" s="29"/>
      <c r="AH111" s="29"/>
      <c r="AI111" s="26"/>
      <c r="AJ111" s="26"/>
      <c r="AK111" s="26"/>
      <c r="AL111" s="26"/>
      <c r="AM111" s="26"/>
      <c r="AN111" s="26"/>
    </row>
    <row r="112" spans="1:40" x14ac:dyDescent="0.35">
      <c r="A112" s="79">
        <v>1</v>
      </c>
      <c r="B112" s="79">
        <v>90</v>
      </c>
      <c r="C112" s="16" t="str">
        <f t="shared" si="34"/>
        <v>Thu</v>
      </c>
      <c r="D112" s="12">
        <v>44784</v>
      </c>
      <c r="E112">
        <f t="shared" si="49"/>
        <v>36</v>
      </c>
      <c r="F112" s="61">
        <f t="shared" si="40"/>
        <v>168</v>
      </c>
      <c r="G112" s="61">
        <f t="shared" si="35"/>
        <v>37</v>
      </c>
      <c r="H112" s="61">
        <f t="shared" si="41"/>
        <v>90</v>
      </c>
      <c r="I112" s="61">
        <f t="shared" si="42"/>
        <v>58</v>
      </c>
      <c r="J112" s="61">
        <f t="shared" si="43"/>
        <v>0</v>
      </c>
      <c r="K112" s="11">
        <f t="shared" si="44"/>
        <v>0.21428571428571427</v>
      </c>
      <c r="L112" s="11">
        <f t="shared" si="36"/>
        <v>5.2056312037883454E-2</v>
      </c>
      <c r="M112" s="11">
        <f t="shared" si="45"/>
        <v>0.6607142857142857</v>
      </c>
      <c r="N112" s="11">
        <f t="shared" si="37"/>
        <v>0.50020732359747755</v>
      </c>
      <c r="O112" s="11">
        <f t="shared" si="46"/>
        <v>0</v>
      </c>
      <c r="P112" s="11">
        <f t="shared" si="38"/>
        <v>0</v>
      </c>
      <c r="Q112" s="11">
        <f t="shared" si="47"/>
        <v>0.55226363563536096</v>
      </c>
      <c r="R112" s="20">
        <f t="shared" si="39"/>
        <v>1</v>
      </c>
      <c r="S112" s="56">
        <v>45.821430041674041</v>
      </c>
      <c r="T112" s="56">
        <v>54.777374399999999</v>
      </c>
      <c r="U112" s="56">
        <v>44.355380945323972</v>
      </c>
      <c r="V112" s="20">
        <f t="shared" si="48"/>
        <v>53.93318802952755</v>
      </c>
      <c r="W112" s="20">
        <f t="shared" si="54"/>
        <v>42.7604458145085</v>
      </c>
      <c r="X112" s="36"/>
      <c r="Y112" s="26"/>
      <c r="Z112" s="26"/>
      <c r="AA112" s="26"/>
      <c r="AB112" s="36"/>
      <c r="AC112" s="29"/>
      <c r="AD112" s="29"/>
      <c r="AE112" s="29"/>
      <c r="AF112" s="29"/>
      <c r="AG112" s="29"/>
      <c r="AH112" s="29"/>
      <c r="AI112" s="26"/>
      <c r="AJ112" s="26"/>
      <c r="AK112" s="26"/>
      <c r="AL112" s="26"/>
      <c r="AM112" s="26"/>
      <c r="AN112" s="26"/>
    </row>
    <row r="113" spans="1:40" x14ac:dyDescent="0.35">
      <c r="A113" s="79">
        <v>1</v>
      </c>
      <c r="B113" s="79">
        <v>91</v>
      </c>
      <c r="C113" s="16" t="str">
        <f t="shared" si="34"/>
        <v>Fri</v>
      </c>
      <c r="D113" s="12">
        <v>44785</v>
      </c>
      <c r="E113">
        <f t="shared" si="49"/>
        <v>35</v>
      </c>
      <c r="F113" s="61">
        <f t="shared" si="40"/>
        <v>168</v>
      </c>
      <c r="G113" s="61">
        <f t="shared" si="35"/>
        <v>37</v>
      </c>
      <c r="H113" s="61">
        <f t="shared" si="41"/>
        <v>91</v>
      </c>
      <c r="I113" s="61">
        <f t="shared" si="42"/>
        <v>59</v>
      </c>
      <c r="J113" s="61">
        <f t="shared" si="43"/>
        <v>0</v>
      </c>
      <c r="K113" s="11">
        <f t="shared" si="44"/>
        <v>0.20833333333333334</v>
      </c>
      <c r="L113" s="11">
        <f t="shared" si="36"/>
        <v>5.0610303370164471E-2</v>
      </c>
      <c r="M113" s="11">
        <f t="shared" si="45"/>
        <v>0.66666666666666663</v>
      </c>
      <c r="N113" s="11">
        <f t="shared" si="37"/>
        <v>0.50471369588213943</v>
      </c>
      <c r="O113" s="11">
        <f t="shared" si="46"/>
        <v>0</v>
      </c>
      <c r="P113" s="11">
        <f t="shared" si="38"/>
        <v>0</v>
      </c>
      <c r="Q113" s="11">
        <f t="shared" si="47"/>
        <v>0.55532399925230391</v>
      </c>
      <c r="R113" s="20">
        <f t="shared" si="39"/>
        <v>1</v>
      </c>
      <c r="S113" s="56">
        <v>44.905001440840557</v>
      </c>
      <c r="T113" s="56">
        <v>53.681826911999998</v>
      </c>
      <c r="U113" s="56">
        <v>52.9</v>
      </c>
      <c r="V113" s="20">
        <f t="shared" si="48"/>
        <v>52.881937477506909</v>
      </c>
      <c r="W113" s="20">
        <f t="shared" si="54"/>
        <v>42.7604458145085</v>
      </c>
      <c r="X113" s="36"/>
      <c r="Y113" s="26"/>
      <c r="Z113" s="26"/>
      <c r="AA113" s="26"/>
      <c r="AB113" s="36"/>
      <c r="AC113" s="29"/>
      <c r="AD113" s="29"/>
      <c r="AE113" s="29"/>
      <c r="AF113" s="29"/>
      <c r="AG113" s="29"/>
      <c r="AH113" s="29"/>
      <c r="AI113" s="26"/>
      <c r="AJ113" s="26"/>
      <c r="AK113" s="26"/>
      <c r="AL113" s="26"/>
      <c r="AM113" s="26"/>
      <c r="AN113" s="26"/>
    </row>
    <row r="114" spans="1:40" x14ac:dyDescent="0.35">
      <c r="A114" s="79">
        <v>1</v>
      </c>
      <c r="B114" s="79">
        <v>92</v>
      </c>
      <c r="C114" s="16" t="str">
        <f t="shared" si="34"/>
        <v>Mon</v>
      </c>
      <c r="D114" s="12">
        <v>44788</v>
      </c>
      <c r="E114">
        <f t="shared" si="49"/>
        <v>34</v>
      </c>
      <c r="F114" s="61">
        <f t="shared" si="40"/>
        <v>168</v>
      </c>
      <c r="G114" s="61">
        <f t="shared" si="35"/>
        <v>37</v>
      </c>
      <c r="H114" s="61">
        <f t="shared" si="41"/>
        <v>92</v>
      </c>
      <c r="I114" s="61">
        <f t="shared" si="42"/>
        <v>60</v>
      </c>
      <c r="J114" s="61">
        <f t="shared" si="43"/>
        <v>0</v>
      </c>
      <c r="K114" s="11">
        <f t="shared" si="44"/>
        <v>0.20238095238095238</v>
      </c>
      <c r="L114" s="11">
        <f t="shared" si="36"/>
        <v>4.9164294702445488E-2</v>
      </c>
      <c r="M114" s="11">
        <f t="shared" si="45"/>
        <v>0.67261904761904767</v>
      </c>
      <c r="N114" s="11">
        <f t="shared" si="37"/>
        <v>0.50922006816680154</v>
      </c>
      <c r="O114" s="11">
        <f t="shared" si="46"/>
        <v>0</v>
      </c>
      <c r="P114" s="11">
        <f t="shared" si="38"/>
        <v>0</v>
      </c>
      <c r="Q114" s="11">
        <f t="shared" si="47"/>
        <v>0.55838436286924709</v>
      </c>
      <c r="R114" s="20">
        <f t="shared" si="39"/>
        <v>0.99999999999999989</v>
      </c>
      <c r="S114" s="56">
        <v>44.006901412023744</v>
      </c>
      <c r="T114" s="56">
        <v>52.608190373759996</v>
      </c>
      <c r="U114" s="56">
        <v>51.841999999999999</v>
      </c>
      <c r="V114" s="20">
        <f t="shared" si="48"/>
        <v>51.850869192409654</v>
      </c>
      <c r="W114" s="20">
        <f>AVERAGE(V109:V113)</f>
        <v>55.025959781685629</v>
      </c>
      <c r="X114" s="36"/>
      <c r="Y114" s="26"/>
      <c r="Z114" s="26"/>
      <c r="AA114" s="26"/>
      <c r="AB114" s="36"/>
      <c r="AC114" s="29"/>
      <c r="AD114" s="29"/>
      <c r="AE114" s="29"/>
      <c r="AF114" s="29"/>
      <c r="AG114" s="29"/>
      <c r="AH114" s="29"/>
      <c r="AI114" s="26"/>
      <c r="AJ114" s="26"/>
      <c r="AK114" s="26"/>
      <c r="AL114" s="26"/>
      <c r="AM114" s="26"/>
      <c r="AN114" s="26"/>
    </row>
    <row r="115" spans="1:40" x14ac:dyDescent="0.35">
      <c r="A115" s="79">
        <v>1</v>
      </c>
      <c r="B115" s="79">
        <v>93</v>
      </c>
      <c r="C115" s="16" t="str">
        <f t="shared" si="34"/>
        <v>Tue</v>
      </c>
      <c r="D115" s="12">
        <v>44789</v>
      </c>
      <c r="E115">
        <f t="shared" si="49"/>
        <v>33</v>
      </c>
      <c r="F115" s="61">
        <f t="shared" si="40"/>
        <v>168</v>
      </c>
      <c r="G115" s="61">
        <f t="shared" si="35"/>
        <v>37</v>
      </c>
      <c r="H115" s="61">
        <f t="shared" si="41"/>
        <v>93</v>
      </c>
      <c r="I115" s="61">
        <f t="shared" si="42"/>
        <v>61</v>
      </c>
      <c r="J115" s="61">
        <f t="shared" si="43"/>
        <v>0</v>
      </c>
      <c r="K115" s="11">
        <f t="shared" si="44"/>
        <v>0.19642857142857142</v>
      </c>
      <c r="L115" s="11">
        <f t="shared" si="36"/>
        <v>4.7718286034726498E-2</v>
      </c>
      <c r="M115" s="11">
        <f t="shared" si="45"/>
        <v>0.6785714285714286</v>
      </c>
      <c r="N115" s="11">
        <f t="shared" si="37"/>
        <v>0.51372644045146343</v>
      </c>
      <c r="O115" s="11">
        <f t="shared" si="46"/>
        <v>0</v>
      </c>
      <c r="P115" s="11">
        <f t="shared" si="38"/>
        <v>0</v>
      </c>
      <c r="Q115" s="11">
        <f t="shared" si="47"/>
        <v>0.56144472648618993</v>
      </c>
      <c r="R115" s="20">
        <f t="shared" si="39"/>
        <v>1</v>
      </c>
      <c r="S115" s="56">
        <v>43.12676338378327</v>
      </c>
      <c r="T115" s="56">
        <v>51.556026566284793</v>
      </c>
      <c r="U115" s="56">
        <v>50.805160000000001</v>
      </c>
      <c r="V115" s="20">
        <f t="shared" si="48"/>
        <v>50.839606992586134</v>
      </c>
      <c r="W115" s="20">
        <f>W114</f>
        <v>55.025959781685629</v>
      </c>
      <c r="X115" s="36"/>
      <c r="Y115" s="26"/>
      <c r="Z115" s="26"/>
      <c r="AA115" s="26"/>
      <c r="AB115" s="36"/>
      <c r="AC115" s="29"/>
      <c r="AD115" s="29"/>
      <c r="AE115" s="29"/>
      <c r="AF115" s="29"/>
      <c r="AG115" s="29"/>
      <c r="AH115" s="29"/>
      <c r="AI115" s="26"/>
      <c r="AJ115" s="26"/>
      <c r="AK115" s="26"/>
      <c r="AL115" s="26"/>
      <c r="AM115" s="26"/>
      <c r="AN115" s="26"/>
    </row>
    <row r="116" spans="1:40" x14ac:dyDescent="0.35">
      <c r="A116" s="79">
        <v>1</v>
      </c>
      <c r="B116" s="79">
        <v>94</v>
      </c>
      <c r="C116" s="16" t="str">
        <f t="shared" si="34"/>
        <v>Wed</v>
      </c>
      <c r="D116" s="12">
        <v>44790</v>
      </c>
      <c r="E116">
        <f t="shared" si="49"/>
        <v>32</v>
      </c>
      <c r="F116" s="61">
        <f t="shared" si="40"/>
        <v>168</v>
      </c>
      <c r="G116" s="61">
        <f t="shared" si="35"/>
        <v>37</v>
      </c>
      <c r="H116" s="61">
        <f t="shared" si="41"/>
        <v>94</v>
      </c>
      <c r="I116" s="61">
        <f t="shared" si="42"/>
        <v>62</v>
      </c>
      <c r="J116" s="61">
        <f t="shared" si="43"/>
        <v>0</v>
      </c>
      <c r="K116" s="11">
        <f t="shared" si="44"/>
        <v>0.19047619047619047</v>
      </c>
      <c r="L116" s="11">
        <f t="shared" si="36"/>
        <v>4.6272277367007515E-2</v>
      </c>
      <c r="M116" s="11">
        <f t="shared" si="45"/>
        <v>0.68452380952380953</v>
      </c>
      <c r="N116" s="11">
        <f t="shared" si="37"/>
        <v>0.51823281273612543</v>
      </c>
      <c r="O116" s="11">
        <f t="shared" si="46"/>
        <v>0</v>
      </c>
      <c r="P116" s="11">
        <f t="shared" si="38"/>
        <v>0</v>
      </c>
      <c r="Q116" s="11">
        <f t="shared" si="47"/>
        <v>0.56450509010313299</v>
      </c>
      <c r="R116" s="20">
        <f t="shared" si="39"/>
        <v>0.99999999999999989</v>
      </c>
      <c r="S116" s="56">
        <v>42.264228116107603</v>
      </c>
      <c r="T116" s="56">
        <v>50.524906034959095</v>
      </c>
      <c r="U116" s="56">
        <v>49.789056799999997</v>
      </c>
      <c r="V116" s="20">
        <f t="shared" si="48"/>
        <v>49.84778126389498</v>
      </c>
      <c r="W116" s="20">
        <f t="shared" ref="W116:W118" si="55">W115</f>
        <v>55.025959781685629</v>
      </c>
      <c r="X116" s="36"/>
      <c r="Y116" s="26"/>
      <c r="Z116" s="26"/>
      <c r="AA116" s="26"/>
      <c r="AB116" s="36"/>
      <c r="AC116" s="29"/>
      <c r="AD116" s="29"/>
      <c r="AE116" s="29"/>
      <c r="AF116" s="29"/>
      <c r="AG116" s="29"/>
      <c r="AH116" s="29"/>
      <c r="AI116" s="26"/>
      <c r="AJ116" s="26"/>
      <c r="AK116" s="26"/>
      <c r="AL116" s="26"/>
      <c r="AM116" s="26"/>
      <c r="AN116" s="26"/>
    </row>
    <row r="117" spans="1:40" x14ac:dyDescent="0.35">
      <c r="A117" s="79">
        <v>1</v>
      </c>
      <c r="B117" s="79">
        <v>95</v>
      </c>
      <c r="C117" s="16" t="str">
        <f t="shared" si="34"/>
        <v>Thu</v>
      </c>
      <c r="D117" s="12">
        <v>44791</v>
      </c>
      <c r="E117">
        <f t="shared" si="49"/>
        <v>31</v>
      </c>
      <c r="F117" s="61">
        <f t="shared" si="40"/>
        <v>168</v>
      </c>
      <c r="G117" s="61">
        <f t="shared" si="35"/>
        <v>37</v>
      </c>
      <c r="H117" s="61">
        <f t="shared" si="41"/>
        <v>95</v>
      </c>
      <c r="I117" s="61">
        <f t="shared" si="42"/>
        <v>63</v>
      </c>
      <c r="J117" s="61">
        <f t="shared" si="43"/>
        <v>0</v>
      </c>
      <c r="K117" s="11">
        <f t="shared" si="44"/>
        <v>0.18452380952380953</v>
      </c>
      <c r="L117" s="11">
        <f t="shared" si="36"/>
        <v>4.4826268699288532E-2</v>
      </c>
      <c r="M117" s="11">
        <f t="shared" si="45"/>
        <v>0.69047619047619047</v>
      </c>
      <c r="N117" s="11">
        <f t="shared" si="37"/>
        <v>0.52273918502078731</v>
      </c>
      <c r="O117" s="11">
        <f t="shared" si="46"/>
        <v>0</v>
      </c>
      <c r="P117" s="11">
        <f t="shared" si="38"/>
        <v>0</v>
      </c>
      <c r="Q117" s="11">
        <f t="shared" si="47"/>
        <v>0.56756545372007583</v>
      </c>
      <c r="R117" s="20">
        <f t="shared" si="39"/>
        <v>1</v>
      </c>
      <c r="S117" s="56">
        <v>41.418943553785454</v>
      </c>
      <c r="T117" s="56">
        <v>49.514407914259913</v>
      </c>
      <c r="U117" s="56">
        <v>48.793275663999999</v>
      </c>
      <c r="V117" s="20">
        <f t="shared" si="48"/>
        <v>48.875028864161628</v>
      </c>
      <c r="W117" s="20">
        <f t="shared" si="55"/>
        <v>55.025959781685629</v>
      </c>
      <c r="X117" s="36"/>
      <c r="Y117" s="26"/>
      <c r="Z117" s="26"/>
      <c r="AA117" s="26"/>
      <c r="AB117" s="36"/>
      <c r="AC117" s="29"/>
      <c r="AD117" s="29"/>
      <c r="AE117" s="29"/>
      <c r="AF117" s="29"/>
      <c r="AG117" s="29"/>
      <c r="AH117" s="29"/>
      <c r="AI117" s="26"/>
      <c r="AJ117" s="26"/>
      <c r="AK117" s="26"/>
      <c r="AL117" s="26"/>
      <c r="AM117" s="26"/>
      <c r="AN117" s="26"/>
    </row>
    <row r="118" spans="1:40" x14ac:dyDescent="0.35">
      <c r="A118" s="79">
        <v>1</v>
      </c>
      <c r="B118" s="79">
        <v>96</v>
      </c>
      <c r="C118" s="16" t="str">
        <f t="shared" si="34"/>
        <v>Fri</v>
      </c>
      <c r="D118" s="12">
        <v>44792</v>
      </c>
      <c r="E118">
        <f t="shared" si="49"/>
        <v>30</v>
      </c>
      <c r="F118" s="61">
        <f t="shared" si="40"/>
        <v>168</v>
      </c>
      <c r="G118" s="61">
        <f t="shared" si="35"/>
        <v>37</v>
      </c>
      <c r="H118" s="61">
        <f t="shared" si="41"/>
        <v>96</v>
      </c>
      <c r="I118" s="61">
        <f t="shared" si="42"/>
        <v>64</v>
      </c>
      <c r="J118" s="61">
        <f t="shared" si="43"/>
        <v>0</v>
      </c>
      <c r="K118" s="11">
        <f t="shared" si="44"/>
        <v>0.17857142857142858</v>
      </c>
      <c r="L118" s="11">
        <f t="shared" si="36"/>
        <v>4.3380260031569549E-2</v>
      </c>
      <c r="M118" s="11">
        <f t="shared" si="45"/>
        <v>0.6964285714285714</v>
      </c>
      <c r="N118" s="11">
        <f t="shared" si="37"/>
        <v>0.52724555730544931</v>
      </c>
      <c r="O118" s="11">
        <f t="shared" si="46"/>
        <v>0</v>
      </c>
      <c r="P118" s="11">
        <f t="shared" si="38"/>
        <v>0</v>
      </c>
      <c r="Q118" s="11">
        <f t="shared" si="47"/>
        <v>0.57062581733701889</v>
      </c>
      <c r="R118" s="20">
        <f t="shared" si="39"/>
        <v>1</v>
      </c>
      <c r="S118" s="56">
        <v>40.590564682709747</v>
      </c>
      <c r="T118" s="56">
        <v>48.524119755974716</v>
      </c>
      <c r="U118" s="56">
        <v>47.817410150720001</v>
      </c>
      <c r="V118" s="20">
        <f t="shared" si="48"/>
        <v>47.920993028097023</v>
      </c>
      <c r="W118" s="20">
        <f t="shared" si="55"/>
        <v>55.025959781685629</v>
      </c>
      <c r="X118" s="36"/>
      <c r="Y118" s="26"/>
      <c r="Z118" s="26"/>
      <c r="AA118" s="26"/>
      <c r="AB118" s="36"/>
      <c r="AC118" s="29"/>
      <c r="AD118" s="29"/>
      <c r="AE118" s="29"/>
      <c r="AF118" s="29"/>
      <c r="AG118" s="29"/>
      <c r="AH118" s="29"/>
      <c r="AI118" s="26"/>
      <c r="AJ118" s="26"/>
      <c r="AK118" s="26"/>
      <c r="AL118" s="26"/>
      <c r="AM118" s="26"/>
      <c r="AN118" s="26"/>
    </row>
    <row r="119" spans="1:40" x14ac:dyDescent="0.35">
      <c r="A119" s="79">
        <v>1</v>
      </c>
      <c r="B119" s="79">
        <v>97</v>
      </c>
      <c r="C119" s="16" t="str">
        <f t="shared" si="34"/>
        <v>Mon</v>
      </c>
      <c r="D119" s="12">
        <v>44795</v>
      </c>
      <c r="E119">
        <f t="shared" si="49"/>
        <v>29</v>
      </c>
      <c r="F119" s="61">
        <f t="shared" si="40"/>
        <v>168</v>
      </c>
      <c r="G119" s="61">
        <f t="shared" ref="G119:G147" si="56">$E$18</f>
        <v>37</v>
      </c>
      <c r="H119" s="61">
        <f t="shared" si="41"/>
        <v>97</v>
      </c>
      <c r="I119" s="61">
        <f t="shared" si="42"/>
        <v>65</v>
      </c>
      <c r="J119" s="61">
        <f t="shared" si="43"/>
        <v>0</v>
      </c>
      <c r="K119" s="11">
        <f t="shared" si="44"/>
        <v>0.17261904761904762</v>
      </c>
      <c r="L119" s="11">
        <f t="shared" si="36"/>
        <v>4.193425136385056E-2</v>
      </c>
      <c r="M119" s="11">
        <f t="shared" si="45"/>
        <v>0.70238095238095233</v>
      </c>
      <c r="N119" s="11">
        <f t="shared" si="37"/>
        <v>0.53175192959011119</v>
      </c>
      <c r="O119" s="11">
        <f t="shared" si="46"/>
        <v>0</v>
      </c>
      <c r="P119" s="11">
        <f t="shared" si="38"/>
        <v>0</v>
      </c>
      <c r="Q119" s="11">
        <f t="shared" si="47"/>
        <v>0.57368618095396173</v>
      </c>
      <c r="R119" s="20">
        <f t="shared" si="39"/>
        <v>1</v>
      </c>
      <c r="S119" s="56">
        <v>39.778753389055552</v>
      </c>
      <c r="T119" s="56">
        <v>47.55363736085522</v>
      </c>
      <c r="U119" s="56">
        <v>46.861061947705601</v>
      </c>
      <c r="V119" s="20">
        <f t="shared" si="48"/>
        <v>46.985323272731172</v>
      </c>
      <c r="W119" s="20">
        <f>AVERAGE(V114:V118)</f>
        <v>49.866855868229884</v>
      </c>
      <c r="X119" s="36"/>
      <c r="Y119" s="26"/>
      <c r="Z119" s="26"/>
      <c r="AA119" s="26"/>
      <c r="AB119" s="36"/>
      <c r="AC119" s="29"/>
      <c r="AD119" s="29"/>
      <c r="AE119" s="29"/>
      <c r="AF119" s="29"/>
      <c r="AG119" s="29"/>
      <c r="AH119" s="29"/>
      <c r="AI119" s="26"/>
      <c r="AJ119" s="26"/>
      <c r="AK119" s="26"/>
      <c r="AL119" s="26"/>
      <c r="AM119" s="26"/>
      <c r="AN119" s="26"/>
    </row>
    <row r="120" spans="1:40" x14ac:dyDescent="0.35">
      <c r="A120" s="79">
        <v>1</v>
      </c>
      <c r="B120" s="79">
        <v>98</v>
      </c>
      <c r="C120" s="16" t="str">
        <f t="shared" si="34"/>
        <v>Tue</v>
      </c>
      <c r="D120" s="12">
        <v>44796</v>
      </c>
      <c r="E120">
        <f t="shared" si="49"/>
        <v>28</v>
      </c>
      <c r="F120" s="61">
        <f t="shared" si="40"/>
        <v>168</v>
      </c>
      <c r="G120" s="61">
        <f t="shared" si="56"/>
        <v>37</v>
      </c>
      <c r="H120" s="61">
        <f t="shared" si="41"/>
        <v>98</v>
      </c>
      <c r="I120" s="61">
        <f t="shared" si="42"/>
        <v>66</v>
      </c>
      <c r="J120" s="61">
        <f t="shared" si="43"/>
        <v>0</v>
      </c>
      <c r="K120" s="11">
        <f t="shared" si="44"/>
        <v>0.16666666666666666</v>
      </c>
      <c r="L120" s="11">
        <f t="shared" si="36"/>
        <v>4.0488242696131577E-2</v>
      </c>
      <c r="M120" s="11">
        <f t="shared" si="45"/>
        <v>0.70833333333333337</v>
      </c>
      <c r="N120" s="11">
        <f t="shared" si="37"/>
        <v>0.5362583018747733</v>
      </c>
      <c r="O120" s="11">
        <f t="shared" si="46"/>
        <v>0</v>
      </c>
      <c r="P120" s="11">
        <f t="shared" si="38"/>
        <v>0</v>
      </c>
      <c r="Q120" s="11">
        <f t="shared" si="47"/>
        <v>0.57674654457090491</v>
      </c>
      <c r="R120" s="20">
        <f t="shared" si="39"/>
        <v>1</v>
      </c>
      <c r="S120" s="56">
        <v>38.983178321274444</v>
      </c>
      <c r="T120" s="56">
        <v>46.602564613638116</v>
      </c>
      <c r="U120" s="56">
        <v>45.923840708751491</v>
      </c>
      <c r="V120" s="20">
        <f t="shared" si="48"/>
        <v>46.067675303412052</v>
      </c>
      <c r="W120" s="20">
        <f>W119</f>
        <v>49.866855868229884</v>
      </c>
      <c r="X120" s="36"/>
      <c r="Y120" s="26"/>
      <c r="Z120" s="26"/>
      <c r="AA120" s="26"/>
      <c r="AB120" s="36"/>
      <c r="AC120" s="29"/>
      <c r="AD120" s="29"/>
      <c r="AE120" s="29"/>
      <c r="AF120" s="29"/>
      <c r="AG120" s="29"/>
      <c r="AH120" s="29"/>
      <c r="AI120" s="26"/>
      <c r="AJ120" s="26"/>
      <c r="AK120" s="26"/>
      <c r="AL120" s="26"/>
      <c r="AM120" s="26"/>
      <c r="AN120" s="26"/>
    </row>
    <row r="121" spans="1:40" x14ac:dyDescent="0.35">
      <c r="A121" s="79">
        <v>1</v>
      </c>
      <c r="B121" s="79">
        <v>99</v>
      </c>
      <c r="C121" s="16" t="str">
        <f t="shared" si="34"/>
        <v>Wed</v>
      </c>
      <c r="D121" s="12">
        <v>44797</v>
      </c>
      <c r="E121">
        <f t="shared" si="49"/>
        <v>27</v>
      </c>
      <c r="F121" s="61">
        <f t="shared" si="40"/>
        <v>168</v>
      </c>
      <c r="G121" s="61">
        <f t="shared" si="56"/>
        <v>37</v>
      </c>
      <c r="H121" s="61">
        <f t="shared" si="41"/>
        <v>99</v>
      </c>
      <c r="I121" s="61">
        <f t="shared" si="42"/>
        <v>67</v>
      </c>
      <c r="J121" s="61">
        <f t="shared" si="43"/>
        <v>0</v>
      </c>
      <c r="K121" s="11">
        <f t="shared" si="44"/>
        <v>0.16071428571428573</v>
      </c>
      <c r="L121" s="11">
        <f t="shared" si="36"/>
        <v>3.9042234028412594E-2</v>
      </c>
      <c r="M121" s="11">
        <f t="shared" si="45"/>
        <v>0.7142857142857143</v>
      </c>
      <c r="N121" s="11">
        <f t="shared" si="37"/>
        <v>0.54076467415943519</v>
      </c>
      <c r="O121" s="11">
        <f t="shared" si="46"/>
        <v>0</v>
      </c>
      <c r="P121" s="11">
        <f t="shared" si="38"/>
        <v>0</v>
      </c>
      <c r="Q121" s="11">
        <f t="shared" si="47"/>
        <v>0.57980690818784775</v>
      </c>
      <c r="R121" s="20">
        <f t="shared" si="39"/>
        <v>1</v>
      </c>
      <c r="S121" s="56">
        <v>38.203514754848953</v>
      </c>
      <c r="T121" s="56">
        <v>45.670513321365355</v>
      </c>
      <c r="U121" s="56">
        <v>45.005363894576462</v>
      </c>
      <c r="V121" s="20">
        <f t="shared" si="48"/>
        <v>45.167710920416205</v>
      </c>
      <c r="W121" s="20">
        <f t="shared" ref="W121:W123" si="57">W120</f>
        <v>49.866855868229884</v>
      </c>
      <c r="X121" s="36"/>
      <c r="Y121" s="26"/>
      <c r="Z121" s="26"/>
      <c r="AA121" s="26"/>
      <c r="AB121" s="36"/>
      <c r="AC121" s="29"/>
      <c r="AD121" s="29"/>
      <c r="AE121" s="29"/>
      <c r="AF121" s="29"/>
      <c r="AG121" s="29"/>
      <c r="AH121" s="29"/>
      <c r="AI121" s="26"/>
      <c r="AJ121" s="26"/>
      <c r="AK121" s="26"/>
      <c r="AL121" s="26"/>
      <c r="AM121" s="26"/>
      <c r="AN121" s="26"/>
    </row>
    <row r="122" spans="1:40" x14ac:dyDescent="0.35">
      <c r="A122" s="79">
        <v>1</v>
      </c>
      <c r="B122" s="79">
        <v>100</v>
      </c>
      <c r="C122" s="16" t="str">
        <f t="shared" si="34"/>
        <v>Thu</v>
      </c>
      <c r="D122" s="12">
        <v>44798</v>
      </c>
      <c r="E122">
        <f t="shared" si="49"/>
        <v>26</v>
      </c>
      <c r="F122" s="61">
        <f t="shared" si="40"/>
        <v>168</v>
      </c>
      <c r="G122" s="61">
        <f t="shared" si="56"/>
        <v>37</v>
      </c>
      <c r="H122" s="61">
        <f t="shared" si="41"/>
        <v>100</v>
      </c>
      <c r="I122" s="61">
        <f t="shared" si="42"/>
        <v>68</v>
      </c>
      <c r="J122" s="61">
        <f t="shared" si="43"/>
        <v>0</v>
      </c>
      <c r="K122" s="11">
        <f t="shared" si="44"/>
        <v>0.15476190476190477</v>
      </c>
      <c r="L122" s="11">
        <f t="shared" si="36"/>
        <v>3.7596225360693611E-2</v>
      </c>
      <c r="M122" s="11">
        <f t="shared" si="45"/>
        <v>0.72023809523809523</v>
      </c>
      <c r="N122" s="11">
        <f t="shared" si="37"/>
        <v>0.54527104644409718</v>
      </c>
      <c r="O122" s="11">
        <f t="shared" si="46"/>
        <v>0</v>
      </c>
      <c r="P122" s="11">
        <f t="shared" si="38"/>
        <v>0</v>
      </c>
      <c r="Q122" s="11">
        <f t="shared" si="47"/>
        <v>0.58286727180479081</v>
      </c>
      <c r="R122" s="20">
        <f t="shared" si="39"/>
        <v>1</v>
      </c>
      <c r="S122" s="56">
        <v>37.439444459751975</v>
      </c>
      <c r="T122" s="56">
        <v>44.75710305493805</v>
      </c>
      <c r="U122" s="56">
        <v>44.105256616684933</v>
      </c>
      <c r="V122" s="20">
        <f t="shared" si="48"/>
        <v>44.285097926214036</v>
      </c>
      <c r="W122" s="20">
        <f t="shared" si="57"/>
        <v>49.866855868229884</v>
      </c>
      <c r="X122" s="36"/>
      <c r="Y122" s="26"/>
      <c r="Z122" s="26"/>
      <c r="AA122" s="26"/>
      <c r="AB122" s="36"/>
      <c r="AC122" s="29"/>
      <c r="AD122" s="29"/>
      <c r="AE122" s="29"/>
      <c r="AF122" s="29"/>
      <c r="AG122" s="29"/>
      <c r="AH122" s="29"/>
      <c r="AI122" s="26"/>
      <c r="AJ122" s="26"/>
      <c r="AK122" s="26"/>
      <c r="AL122" s="26"/>
      <c r="AM122" s="26"/>
      <c r="AN122" s="26"/>
    </row>
    <row r="123" spans="1:40" x14ac:dyDescent="0.35">
      <c r="A123" s="79">
        <v>1</v>
      </c>
      <c r="B123" s="79">
        <v>101</v>
      </c>
      <c r="C123" s="16" t="str">
        <f t="shared" si="34"/>
        <v>Fri</v>
      </c>
      <c r="D123" s="12">
        <v>44799</v>
      </c>
      <c r="E123">
        <f t="shared" si="49"/>
        <v>25</v>
      </c>
      <c r="F123" s="61">
        <f t="shared" si="40"/>
        <v>168</v>
      </c>
      <c r="G123" s="61">
        <f t="shared" si="56"/>
        <v>37</v>
      </c>
      <c r="H123" s="61">
        <f t="shared" si="41"/>
        <v>101</v>
      </c>
      <c r="I123" s="61">
        <f t="shared" si="42"/>
        <v>69</v>
      </c>
      <c r="J123" s="61">
        <f t="shared" si="43"/>
        <v>0</v>
      </c>
      <c r="K123" s="11">
        <f t="shared" si="44"/>
        <v>0.14880952380952381</v>
      </c>
      <c r="L123" s="11">
        <f t="shared" si="36"/>
        <v>3.6150216692974621E-2</v>
      </c>
      <c r="M123" s="11">
        <f t="shared" si="45"/>
        <v>0.72619047619047616</v>
      </c>
      <c r="N123" s="11">
        <f t="shared" si="37"/>
        <v>0.54977741872875907</v>
      </c>
      <c r="O123" s="11">
        <f t="shared" si="46"/>
        <v>0</v>
      </c>
      <c r="P123" s="11">
        <f t="shared" si="38"/>
        <v>0</v>
      </c>
      <c r="Q123" s="11">
        <f t="shared" si="47"/>
        <v>0.58592763542173365</v>
      </c>
      <c r="R123" s="20">
        <f t="shared" si="39"/>
        <v>1</v>
      </c>
      <c r="S123" s="56">
        <v>36.690655570556935</v>
      </c>
      <c r="T123" s="56">
        <v>43.86196099383929</v>
      </c>
      <c r="U123" s="56">
        <v>43.223151484351234</v>
      </c>
      <c r="V123" s="20">
        <f t="shared" si="48"/>
        <v>43.419510033429198</v>
      </c>
      <c r="W123" s="20">
        <f t="shared" si="57"/>
        <v>49.866855868229884</v>
      </c>
      <c r="X123" s="36"/>
      <c r="Y123" s="26"/>
      <c r="Z123" s="26"/>
      <c r="AA123" s="26"/>
      <c r="AB123" s="36"/>
      <c r="AC123" s="29"/>
      <c r="AD123" s="29"/>
      <c r="AE123" s="29"/>
      <c r="AF123" s="29"/>
      <c r="AG123" s="29"/>
      <c r="AH123" s="29"/>
      <c r="AI123" s="26"/>
      <c r="AJ123" s="26"/>
      <c r="AK123" s="26"/>
      <c r="AL123" s="26"/>
      <c r="AM123" s="26"/>
      <c r="AN123" s="26"/>
    </row>
    <row r="124" spans="1:40" x14ac:dyDescent="0.35">
      <c r="A124" s="79">
        <v>1</v>
      </c>
      <c r="B124" s="79">
        <v>102</v>
      </c>
      <c r="C124" s="16" t="str">
        <f t="shared" si="34"/>
        <v>Tue</v>
      </c>
      <c r="D124" s="12">
        <v>44803</v>
      </c>
      <c r="E124">
        <f t="shared" si="49"/>
        <v>24</v>
      </c>
      <c r="F124" s="61">
        <f t="shared" si="40"/>
        <v>168</v>
      </c>
      <c r="G124" s="61">
        <f t="shared" si="56"/>
        <v>37</v>
      </c>
      <c r="H124" s="61">
        <f t="shared" si="41"/>
        <v>102</v>
      </c>
      <c r="I124" s="61">
        <f t="shared" si="42"/>
        <v>70</v>
      </c>
      <c r="J124" s="61">
        <f t="shared" si="43"/>
        <v>0</v>
      </c>
      <c r="K124" s="11">
        <f t="shared" si="44"/>
        <v>0.14285714285714285</v>
      </c>
      <c r="L124" s="11">
        <f t="shared" si="36"/>
        <v>3.4704208025255638E-2</v>
      </c>
      <c r="M124" s="11">
        <f t="shared" si="45"/>
        <v>0.7321428571428571</v>
      </c>
      <c r="N124" s="11">
        <f t="shared" si="37"/>
        <v>0.55428379101342107</v>
      </c>
      <c r="O124" s="11">
        <f t="shared" si="46"/>
        <v>0</v>
      </c>
      <c r="P124" s="11">
        <f t="shared" si="38"/>
        <v>0</v>
      </c>
      <c r="Q124" s="11">
        <f t="shared" si="47"/>
        <v>0.58898799903867671</v>
      </c>
      <c r="R124" s="20">
        <f t="shared" si="39"/>
        <v>1</v>
      </c>
      <c r="S124" s="56">
        <v>35.956842459145797</v>
      </c>
      <c r="T124" s="56">
        <v>42.984721773962505</v>
      </c>
      <c r="U124" s="56">
        <v>42.358688454664211</v>
      </c>
      <c r="V124" s="20">
        <f t="shared" si="48"/>
        <v>42.570626773528083</v>
      </c>
      <c r="W124" s="20">
        <f>AVERAGE(V119:V123)</f>
        <v>45.185063491240534</v>
      </c>
      <c r="X124" s="36"/>
      <c r="Y124" s="26"/>
      <c r="Z124" s="26"/>
      <c r="AA124" s="26"/>
      <c r="AB124" s="36"/>
      <c r="AC124" s="29"/>
      <c r="AD124" s="29"/>
      <c r="AE124" s="29"/>
      <c r="AF124" s="29"/>
      <c r="AG124" s="29"/>
      <c r="AH124" s="29"/>
      <c r="AI124" s="26"/>
      <c r="AJ124" s="26"/>
      <c r="AK124" s="26"/>
      <c r="AL124" s="26"/>
      <c r="AM124" s="26"/>
      <c r="AN124" s="26"/>
    </row>
    <row r="125" spans="1:40" x14ac:dyDescent="0.35">
      <c r="A125" s="79">
        <v>1</v>
      </c>
      <c r="B125" s="79">
        <v>103</v>
      </c>
      <c r="C125" s="16" t="str">
        <f t="shared" si="34"/>
        <v>Wed</v>
      </c>
      <c r="D125" s="12">
        <v>44804</v>
      </c>
      <c r="E125">
        <f t="shared" si="49"/>
        <v>23</v>
      </c>
      <c r="F125" s="61">
        <f t="shared" si="40"/>
        <v>168</v>
      </c>
      <c r="G125" s="61">
        <f t="shared" si="56"/>
        <v>37</v>
      </c>
      <c r="H125" s="61">
        <f t="shared" si="41"/>
        <v>103</v>
      </c>
      <c r="I125" s="61">
        <f t="shared" si="42"/>
        <v>71</v>
      </c>
      <c r="J125" s="61">
        <f t="shared" si="43"/>
        <v>0</v>
      </c>
      <c r="K125" s="11">
        <f t="shared" si="44"/>
        <v>0.13690476190476192</v>
      </c>
      <c r="L125" s="11">
        <f t="shared" si="36"/>
        <v>3.3258199357536655E-2</v>
      </c>
      <c r="M125" s="11">
        <f t="shared" si="45"/>
        <v>0.73809523809523814</v>
      </c>
      <c r="N125" s="11">
        <f t="shared" si="37"/>
        <v>0.55879016329808306</v>
      </c>
      <c r="O125" s="11">
        <f t="shared" si="46"/>
        <v>0</v>
      </c>
      <c r="P125" s="11">
        <f t="shared" si="38"/>
        <v>0</v>
      </c>
      <c r="Q125" s="11">
        <f t="shared" si="47"/>
        <v>0.59204836265561966</v>
      </c>
      <c r="R125" s="20">
        <f t="shared" si="39"/>
        <v>1</v>
      </c>
      <c r="S125" s="56">
        <v>35.23770560996288</v>
      </c>
      <c r="T125" s="56">
        <v>42.125027338483257</v>
      </c>
      <c r="U125" s="56">
        <v>41.51151468557093</v>
      </c>
      <c r="V125" s="20">
        <f t="shared" si="48"/>
        <v>41.738133406272759</v>
      </c>
      <c r="W125" s="20">
        <f>W124</f>
        <v>45.185063491240534</v>
      </c>
      <c r="X125" s="36"/>
      <c r="Y125" s="26"/>
      <c r="Z125" s="26"/>
      <c r="AA125" s="26"/>
      <c r="AB125" s="36"/>
      <c r="AC125" s="29"/>
      <c r="AD125" s="29"/>
      <c r="AE125" s="29"/>
      <c r="AF125" s="29"/>
      <c r="AG125" s="29"/>
      <c r="AH125" s="29"/>
      <c r="AI125" s="26"/>
      <c r="AJ125" s="26"/>
      <c r="AK125" s="26"/>
      <c r="AL125" s="26"/>
      <c r="AM125" s="26"/>
      <c r="AN125" s="26"/>
    </row>
    <row r="126" spans="1:40" x14ac:dyDescent="0.35">
      <c r="A126" s="79">
        <v>1</v>
      </c>
      <c r="B126" s="79">
        <v>104</v>
      </c>
      <c r="C126" s="16" t="str">
        <f t="shared" si="34"/>
        <v>Thu</v>
      </c>
      <c r="D126" s="12">
        <v>44805</v>
      </c>
      <c r="E126">
        <f t="shared" si="49"/>
        <v>22</v>
      </c>
      <c r="F126" s="61">
        <f t="shared" si="40"/>
        <v>168</v>
      </c>
      <c r="G126" s="61">
        <f t="shared" si="56"/>
        <v>37</v>
      </c>
      <c r="H126" s="61">
        <f t="shared" si="41"/>
        <v>104</v>
      </c>
      <c r="I126" s="61">
        <f t="shared" si="42"/>
        <v>72</v>
      </c>
      <c r="J126" s="61">
        <f t="shared" si="43"/>
        <v>1</v>
      </c>
      <c r="K126" s="11">
        <f t="shared" si="44"/>
        <v>0.13095238095238096</v>
      </c>
      <c r="L126" s="11">
        <f t="shared" si="36"/>
        <v>3.1812190689817672E-2</v>
      </c>
      <c r="M126" s="11">
        <f t="shared" si="45"/>
        <v>0.73809523809523814</v>
      </c>
      <c r="N126" s="11">
        <f t="shared" si="37"/>
        <v>0.55879016329808306</v>
      </c>
      <c r="O126" s="11">
        <f t="shared" si="46"/>
        <v>5.9523809523809521E-3</v>
      </c>
      <c r="P126" s="11">
        <f t="shared" si="38"/>
        <v>1.4460086677189849E-3</v>
      </c>
      <c r="Q126" s="11">
        <f t="shared" si="47"/>
        <v>0.59204836265561966</v>
      </c>
      <c r="R126" s="20">
        <f t="shared" si="39"/>
        <v>1</v>
      </c>
      <c r="S126" s="56">
        <v>34.532951497763619</v>
      </c>
      <c r="T126" s="56">
        <v>41.282526791713593</v>
      </c>
      <c r="U126" s="56">
        <v>40.681284391859514</v>
      </c>
      <c r="V126" s="20">
        <f t="shared" si="48"/>
        <v>40.918387319929579</v>
      </c>
      <c r="W126" s="20">
        <f t="shared" ref="W126:W127" si="58">W125</f>
        <v>45.185063491240534</v>
      </c>
      <c r="X126" s="36"/>
      <c r="Y126" s="26"/>
      <c r="Z126" s="26"/>
      <c r="AA126" s="26"/>
      <c r="AB126" s="36"/>
      <c r="AC126" s="29"/>
      <c r="AD126" s="29"/>
      <c r="AE126" s="29"/>
      <c r="AF126" s="29"/>
      <c r="AG126" s="29"/>
      <c r="AH126" s="29"/>
      <c r="AI126" s="26"/>
      <c r="AJ126" s="26"/>
      <c r="AK126" s="26"/>
      <c r="AL126" s="26"/>
      <c r="AM126" s="26"/>
      <c r="AN126" s="26"/>
    </row>
    <row r="127" spans="1:40" x14ac:dyDescent="0.35">
      <c r="A127" s="79">
        <v>1</v>
      </c>
      <c r="B127" s="79">
        <v>105</v>
      </c>
      <c r="C127" s="16" t="str">
        <f t="shared" si="34"/>
        <v>Fri</v>
      </c>
      <c r="D127" s="12">
        <v>44806</v>
      </c>
      <c r="E127">
        <f t="shared" si="49"/>
        <v>21</v>
      </c>
      <c r="F127" s="61">
        <f t="shared" si="40"/>
        <v>168</v>
      </c>
      <c r="G127" s="61">
        <f t="shared" si="56"/>
        <v>37</v>
      </c>
      <c r="H127" s="61">
        <f t="shared" si="41"/>
        <v>105</v>
      </c>
      <c r="I127" s="61">
        <f t="shared" si="42"/>
        <v>73</v>
      </c>
      <c r="J127" s="61">
        <f t="shared" si="43"/>
        <v>2</v>
      </c>
      <c r="K127" s="11">
        <f t="shared" si="44"/>
        <v>0.125</v>
      </c>
      <c r="L127" s="11">
        <f t="shared" si="36"/>
        <v>3.0366182022098683E-2</v>
      </c>
      <c r="M127" s="11">
        <f t="shared" si="45"/>
        <v>0.73809523809523814</v>
      </c>
      <c r="N127" s="11">
        <f t="shared" si="37"/>
        <v>0.55879016329808306</v>
      </c>
      <c r="O127" s="11">
        <f t="shared" si="46"/>
        <v>1.1904761904761904E-2</v>
      </c>
      <c r="P127" s="11">
        <f t="shared" si="38"/>
        <v>2.8920173354379697E-3</v>
      </c>
      <c r="Q127" s="11">
        <f t="shared" si="47"/>
        <v>0.59204836265561978</v>
      </c>
      <c r="R127" s="20">
        <f t="shared" si="39"/>
        <v>0.99999999999999989</v>
      </c>
      <c r="S127" s="56">
        <v>33.842292467808349</v>
      </c>
      <c r="T127" s="56">
        <v>40.456876255879322</v>
      </c>
      <c r="U127" s="56">
        <v>39.867658704022325</v>
      </c>
      <c r="V127" s="20">
        <f t="shared" si="48"/>
        <v>40.11473582367762</v>
      </c>
      <c r="W127" s="20">
        <f t="shared" si="58"/>
        <v>45.185063491240534</v>
      </c>
      <c r="X127" s="36"/>
      <c r="Y127" s="26"/>
      <c r="Z127" s="26"/>
      <c r="AA127" s="26"/>
      <c r="AB127" s="36"/>
      <c r="AC127" s="29"/>
      <c r="AD127" s="29"/>
      <c r="AE127" s="29"/>
      <c r="AF127" s="29"/>
      <c r="AG127" s="29"/>
      <c r="AH127" s="29"/>
      <c r="AI127" s="26"/>
      <c r="AJ127" s="26"/>
      <c r="AK127" s="26"/>
      <c r="AL127" s="26"/>
      <c r="AM127" s="26"/>
      <c r="AN127" s="26"/>
    </row>
    <row r="128" spans="1:40" x14ac:dyDescent="0.35">
      <c r="A128" s="79">
        <v>1</v>
      </c>
      <c r="B128" s="79">
        <v>106</v>
      </c>
      <c r="C128" s="16" t="str">
        <f t="shared" si="34"/>
        <v>Mon</v>
      </c>
      <c r="D128" s="12">
        <v>44809</v>
      </c>
      <c r="E128">
        <f t="shared" si="49"/>
        <v>20</v>
      </c>
      <c r="F128" s="61">
        <f t="shared" si="40"/>
        <v>168</v>
      </c>
      <c r="G128" s="61">
        <f t="shared" si="56"/>
        <v>37</v>
      </c>
      <c r="H128" s="61">
        <f t="shared" si="41"/>
        <v>106</v>
      </c>
      <c r="I128" s="61">
        <f t="shared" si="42"/>
        <v>74</v>
      </c>
      <c r="J128" s="61">
        <f t="shared" si="43"/>
        <v>3</v>
      </c>
      <c r="K128" s="11">
        <f t="shared" si="44"/>
        <v>0.11904761904761904</v>
      </c>
      <c r="L128" s="11">
        <f t="shared" si="36"/>
        <v>2.8920173354379696E-2</v>
      </c>
      <c r="M128" s="11">
        <f t="shared" si="45"/>
        <v>0.73809523809523814</v>
      </c>
      <c r="N128" s="11">
        <f t="shared" si="37"/>
        <v>0.55879016329808306</v>
      </c>
      <c r="O128" s="11">
        <f t="shared" si="46"/>
        <v>1.7857142857142856E-2</v>
      </c>
      <c r="P128" s="11">
        <f t="shared" si="38"/>
        <v>4.3380260031569548E-3</v>
      </c>
      <c r="Q128" s="11">
        <f t="shared" si="47"/>
        <v>0.59204836265561966</v>
      </c>
      <c r="R128" s="20">
        <f t="shared" si="39"/>
        <v>1</v>
      </c>
      <c r="S128" s="56">
        <v>33.165446618452179</v>
      </c>
      <c r="T128" s="56">
        <v>39.647738730761738</v>
      </c>
      <c r="U128" s="56">
        <v>39.070305529941876</v>
      </c>
      <c r="V128" s="20">
        <f t="shared" si="48"/>
        <v>39.326863032347781</v>
      </c>
      <c r="W128" s="20">
        <f>AVERAGE(V124:V127)</f>
        <v>41.33547083085201</v>
      </c>
      <c r="X128" s="36"/>
      <c r="Y128" s="26"/>
      <c r="Z128" s="26"/>
      <c r="AA128" s="26"/>
      <c r="AB128" s="36"/>
      <c r="AC128" s="29"/>
      <c r="AD128" s="29"/>
      <c r="AE128" s="29"/>
      <c r="AF128" s="29"/>
      <c r="AG128" s="29"/>
      <c r="AH128" s="29"/>
      <c r="AI128" s="26"/>
      <c r="AJ128" s="26"/>
      <c r="AK128" s="26"/>
      <c r="AL128" s="26"/>
      <c r="AM128" s="26"/>
      <c r="AN128" s="26"/>
    </row>
    <row r="129" spans="1:40" x14ac:dyDescent="0.35">
      <c r="A129" s="79">
        <v>1</v>
      </c>
      <c r="B129" s="79">
        <v>107</v>
      </c>
      <c r="C129" s="16" t="str">
        <f t="shared" si="34"/>
        <v>Tue</v>
      </c>
      <c r="D129" s="12">
        <v>44810</v>
      </c>
      <c r="E129">
        <f t="shared" si="49"/>
        <v>19</v>
      </c>
      <c r="F129" s="61">
        <f t="shared" si="40"/>
        <v>168</v>
      </c>
      <c r="G129" s="61">
        <f t="shared" si="56"/>
        <v>37</v>
      </c>
      <c r="H129" s="61">
        <f t="shared" si="41"/>
        <v>107</v>
      </c>
      <c r="I129" s="61">
        <f t="shared" si="42"/>
        <v>75</v>
      </c>
      <c r="J129" s="61">
        <f t="shared" si="43"/>
        <v>4</v>
      </c>
      <c r="K129" s="11">
        <f t="shared" si="44"/>
        <v>0.1130952380952381</v>
      </c>
      <c r="L129" s="11">
        <f t="shared" si="36"/>
        <v>2.7474164686660713E-2</v>
      </c>
      <c r="M129" s="11">
        <f t="shared" si="45"/>
        <v>0.73809523809523814</v>
      </c>
      <c r="N129" s="11">
        <f t="shared" si="37"/>
        <v>0.55879016329808306</v>
      </c>
      <c r="O129" s="11">
        <f t="shared" si="46"/>
        <v>2.3809523809523808E-2</v>
      </c>
      <c r="P129" s="11">
        <f t="shared" si="38"/>
        <v>5.7840346708759394E-3</v>
      </c>
      <c r="Q129" s="11">
        <f t="shared" si="47"/>
        <v>0.59204836265561978</v>
      </c>
      <c r="R129" s="20">
        <f t="shared" si="39"/>
        <v>1</v>
      </c>
      <c r="S129" s="56">
        <v>32.502137686083138</v>
      </c>
      <c r="T129" s="56">
        <v>38.854783956146505</v>
      </c>
      <c r="U129" s="56">
        <v>38.288899419343039</v>
      </c>
      <c r="V129" s="20">
        <f t="shared" si="48"/>
        <v>38.554459258341652</v>
      </c>
      <c r="W129" s="20">
        <f>W128</f>
        <v>41.33547083085201</v>
      </c>
      <c r="X129" s="36"/>
      <c r="Y129" s="26"/>
      <c r="Z129" s="26"/>
      <c r="AA129" s="26"/>
      <c r="AB129" s="36"/>
      <c r="AC129" s="29"/>
      <c r="AD129" s="29"/>
      <c r="AE129" s="29"/>
      <c r="AF129" s="29"/>
      <c r="AG129" s="29"/>
      <c r="AH129" s="29"/>
      <c r="AI129" s="26"/>
      <c r="AJ129" s="26"/>
      <c r="AK129" s="26"/>
      <c r="AL129" s="26"/>
      <c r="AM129" s="26"/>
      <c r="AN129" s="26"/>
    </row>
    <row r="130" spans="1:40" x14ac:dyDescent="0.35">
      <c r="A130" s="79">
        <v>1</v>
      </c>
      <c r="B130" s="79">
        <v>108</v>
      </c>
      <c r="C130" s="16" t="str">
        <f t="shared" si="34"/>
        <v>Wed</v>
      </c>
      <c r="D130" s="12">
        <v>44811</v>
      </c>
      <c r="E130">
        <f t="shared" si="49"/>
        <v>18</v>
      </c>
      <c r="F130" s="61">
        <f t="shared" si="40"/>
        <v>168</v>
      </c>
      <c r="G130" s="61">
        <f t="shared" si="56"/>
        <v>37</v>
      </c>
      <c r="H130" s="61">
        <f t="shared" si="41"/>
        <v>108</v>
      </c>
      <c r="I130" s="61">
        <f t="shared" si="42"/>
        <v>76</v>
      </c>
      <c r="J130" s="61">
        <f t="shared" si="43"/>
        <v>5</v>
      </c>
      <c r="K130" s="11">
        <f t="shared" si="44"/>
        <v>0.10714285714285714</v>
      </c>
      <c r="L130" s="11">
        <f t="shared" si="36"/>
        <v>2.6028156018941727E-2</v>
      </c>
      <c r="M130" s="11">
        <f t="shared" si="45"/>
        <v>0.73809523809523814</v>
      </c>
      <c r="N130" s="11">
        <f t="shared" si="37"/>
        <v>0.55879016329808306</v>
      </c>
      <c r="O130" s="11">
        <f t="shared" si="46"/>
        <v>2.976190476190476E-2</v>
      </c>
      <c r="P130" s="11">
        <f t="shared" si="38"/>
        <v>7.230043338594924E-3</v>
      </c>
      <c r="Q130" s="11">
        <f t="shared" si="47"/>
        <v>0.59204836265561966</v>
      </c>
      <c r="R130" s="20">
        <f t="shared" si="39"/>
        <v>1</v>
      </c>
      <c r="S130" s="56">
        <v>45.9</v>
      </c>
      <c r="T130" s="56">
        <v>38.077688277023576</v>
      </c>
      <c r="U130" s="56">
        <v>37.523121430956181</v>
      </c>
      <c r="V130" s="20">
        <f t="shared" si="48"/>
        <v>38.414807371024537</v>
      </c>
      <c r="W130" s="20">
        <f>W129</f>
        <v>41.33547083085201</v>
      </c>
      <c r="X130" s="36"/>
      <c r="Y130" s="26"/>
      <c r="Z130" s="26"/>
      <c r="AA130" s="26"/>
      <c r="AB130" s="36"/>
      <c r="AC130" s="29"/>
      <c r="AD130" s="29"/>
      <c r="AE130" s="29"/>
      <c r="AF130" s="29"/>
      <c r="AG130" s="29"/>
      <c r="AH130" s="29"/>
      <c r="AI130" s="26"/>
      <c r="AJ130" s="26"/>
      <c r="AK130" s="26"/>
      <c r="AL130" s="26"/>
      <c r="AM130" s="26"/>
      <c r="AN130" s="26"/>
    </row>
    <row r="131" spans="1:40" x14ac:dyDescent="0.35">
      <c r="A131" s="79">
        <v>1</v>
      </c>
      <c r="B131" s="79">
        <v>109</v>
      </c>
      <c r="C131" s="16" t="str">
        <f t="shared" si="34"/>
        <v>Thu</v>
      </c>
      <c r="D131" s="12">
        <v>44812</v>
      </c>
      <c r="E131">
        <f t="shared" si="49"/>
        <v>17</v>
      </c>
      <c r="F131" s="61">
        <f t="shared" si="40"/>
        <v>168</v>
      </c>
      <c r="G131" s="61">
        <f t="shared" si="56"/>
        <v>37</v>
      </c>
      <c r="H131" s="61">
        <f t="shared" si="41"/>
        <v>109</v>
      </c>
      <c r="I131" s="61">
        <f t="shared" si="42"/>
        <v>77</v>
      </c>
      <c r="J131" s="61">
        <f t="shared" si="43"/>
        <v>6</v>
      </c>
      <c r="K131" s="11">
        <f t="shared" si="44"/>
        <v>0.10119047619047619</v>
      </c>
      <c r="L131" s="11">
        <f t="shared" si="36"/>
        <v>2.4582147351222744E-2</v>
      </c>
      <c r="M131" s="11">
        <f t="shared" si="45"/>
        <v>0.73809523809523814</v>
      </c>
      <c r="N131" s="11">
        <f t="shared" si="37"/>
        <v>0.55879016329808306</v>
      </c>
      <c r="O131" s="11">
        <f t="shared" si="46"/>
        <v>3.5714285714285712E-2</v>
      </c>
      <c r="P131" s="11">
        <f t="shared" si="38"/>
        <v>8.6760520063139095E-3</v>
      </c>
      <c r="Q131" s="11">
        <f t="shared" si="47"/>
        <v>0.59204836265561978</v>
      </c>
      <c r="R131" s="20">
        <f t="shared" si="39"/>
        <v>1</v>
      </c>
      <c r="S131" s="56">
        <v>44.981999999999999</v>
      </c>
      <c r="T131" s="56">
        <v>37.316134511483106</v>
      </c>
      <c r="U131" s="56">
        <v>36.772659002337058</v>
      </c>
      <c r="V131" s="20">
        <f t="shared" si="48"/>
        <v>37.626460871322628</v>
      </c>
      <c r="W131" s="20">
        <f>W130</f>
        <v>41.33547083085201</v>
      </c>
      <c r="X131" s="36"/>
      <c r="Y131" s="26"/>
      <c r="Z131" s="26"/>
      <c r="AA131" s="26"/>
      <c r="AB131" s="36"/>
      <c r="AC131" s="29"/>
      <c r="AD131" s="29"/>
      <c r="AE131" s="29"/>
      <c r="AF131" s="29"/>
      <c r="AG131" s="29"/>
      <c r="AH131" s="29"/>
      <c r="AI131" s="26"/>
      <c r="AJ131" s="26"/>
      <c r="AK131" s="26"/>
      <c r="AL131" s="26"/>
      <c r="AM131" s="26"/>
      <c r="AN131" s="26"/>
    </row>
    <row r="132" spans="1:40" x14ac:dyDescent="0.35">
      <c r="A132" s="79">
        <v>1</v>
      </c>
      <c r="B132" s="79">
        <v>110</v>
      </c>
      <c r="C132" s="16" t="str">
        <f t="shared" si="34"/>
        <v>Fri</v>
      </c>
      <c r="D132" s="12">
        <v>44813</v>
      </c>
      <c r="E132">
        <f t="shared" si="49"/>
        <v>16</v>
      </c>
      <c r="F132" s="61">
        <f t="shared" si="40"/>
        <v>168</v>
      </c>
      <c r="G132" s="61">
        <f t="shared" si="56"/>
        <v>37</v>
      </c>
      <c r="H132" s="61">
        <f t="shared" si="41"/>
        <v>110</v>
      </c>
      <c r="I132" s="61">
        <f t="shared" si="42"/>
        <v>78</v>
      </c>
      <c r="J132" s="61">
        <f t="shared" si="43"/>
        <v>7</v>
      </c>
      <c r="K132" s="11">
        <f t="shared" si="44"/>
        <v>9.5238095238095233E-2</v>
      </c>
      <c r="L132" s="11">
        <f t="shared" si="36"/>
        <v>2.3136138683503758E-2</v>
      </c>
      <c r="M132" s="11">
        <f t="shared" si="45"/>
        <v>0.73809523809523814</v>
      </c>
      <c r="N132" s="11">
        <f t="shared" si="37"/>
        <v>0.55879016329808306</v>
      </c>
      <c r="O132" s="11">
        <f t="shared" si="46"/>
        <v>4.1666666666666664E-2</v>
      </c>
      <c r="P132" s="11">
        <f t="shared" si="38"/>
        <v>1.0122060674032894E-2</v>
      </c>
      <c r="Q132" s="11">
        <f t="shared" si="47"/>
        <v>0.59204836265561966</v>
      </c>
      <c r="R132" s="20">
        <f t="shared" si="39"/>
        <v>1</v>
      </c>
      <c r="S132" s="56">
        <v>44.082360000000001</v>
      </c>
      <c r="T132" s="56">
        <v>36.569811821253445</v>
      </c>
      <c r="U132" s="56">
        <v>36.037205822290318</v>
      </c>
      <c r="V132" s="20">
        <f t="shared" si="48"/>
        <v>36.854282308660395</v>
      </c>
      <c r="W132" s="20">
        <f>W131</f>
        <v>41.33547083085201</v>
      </c>
      <c r="X132" s="36"/>
      <c r="Y132" s="26"/>
      <c r="Z132" s="26"/>
      <c r="AA132" s="26"/>
      <c r="AB132" s="36"/>
      <c r="AC132" s="29"/>
      <c r="AD132" s="29"/>
      <c r="AE132" s="29"/>
      <c r="AF132" s="29"/>
      <c r="AG132" s="29"/>
      <c r="AH132" s="29"/>
      <c r="AI132" s="26"/>
      <c r="AJ132" s="26"/>
      <c r="AK132" s="26"/>
      <c r="AL132" s="26"/>
      <c r="AM132" s="26"/>
      <c r="AN132" s="26"/>
    </row>
    <row r="133" spans="1:40" x14ac:dyDescent="0.35">
      <c r="A133" s="79">
        <v>1</v>
      </c>
      <c r="B133" s="79">
        <v>111</v>
      </c>
      <c r="C133" s="16" t="str">
        <f t="shared" si="34"/>
        <v>Mon</v>
      </c>
      <c r="D133" s="12">
        <v>44816</v>
      </c>
      <c r="E133">
        <f t="shared" si="49"/>
        <v>15</v>
      </c>
      <c r="F133" s="61">
        <f t="shared" si="40"/>
        <v>168</v>
      </c>
      <c r="G133" s="61">
        <f t="shared" si="56"/>
        <v>37</v>
      </c>
      <c r="H133" s="61">
        <f t="shared" si="41"/>
        <v>111</v>
      </c>
      <c r="I133" s="61">
        <f t="shared" si="42"/>
        <v>79</v>
      </c>
      <c r="J133" s="61">
        <f t="shared" si="43"/>
        <v>8</v>
      </c>
      <c r="K133" s="11">
        <f t="shared" si="44"/>
        <v>8.9285714285714288E-2</v>
      </c>
      <c r="L133" s="11">
        <f t="shared" si="36"/>
        <v>2.1690130015784775E-2</v>
      </c>
      <c r="M133" s="11">
        <f t="shared" si="45"/>
        <v>0.73809523809523814</v>
      </c>
      <c r="N133" s="11">
        <f t="shared" si="37"/>
        <v>0.55879016329808306</v>
      </c>
      <c r="O133" s="11">
        <f t="shared" si="46"/>
        <v>4.7619047619047616E-2</v>
      </c>
      <c r="P133" s="11">
        <f t="shared" si="38"/>
        <v>1.1568069341751879E-2</v>
      </c>
      <c r="Q133" s="11">
        <f t="shared" si="47"/>
        <v>0.59204836265561978</v>
      </c>
      <c r="R133" s="20">
        <f t="shared" si="39"/>
        <v>1</v>
      </c>
      <c r="S133" s="56">
        <v>43.200712799999998</v>
      </c>
      <c r="T133" s="56">
        <v>35.838415584828375</v>
      </c>
      <c r="U133" s="56">
        <v>35.31646170584451</v>
      </c>
      <c r="V133" s="20">
        <f t="shared" si="48"/>
        <v>36.097940304156097</v>
      </c>
      <c r="W133" s="20">
        <f>AVERAGE(V128:V132)</f>
        <v>38.155374568339404</v>
      </c>
      <c r="X133" s="36"/>
      <c r="Y133" s="26"/>
      <c r="Z133" s="26"/>
      <c r="AA133" s="26"/>
      <c r="AB133" s="36"/>
      <c r="AC133" s="29"/>
      <c r="AD133" s="29"/>
      <c r="AE133" s="29"/>
      <c r="AF133" s="29"/>
      <c r="AG133" s="29"/>
      <c r="AH133" s="29"/>
      <c r="AI133" s="26"/>
      <c r="AJ133" s="26"/>
      <c r="AK133" s="26"/>
      <c r="AL133" s="26"/>
      <c r="AM133" s="26"/>
      <c r="AN133" s="26"/>
    </row>
    <row r="134" spans="1:40" x14ac:dyDescent="0.35">
      <c r="A134" s="79">
        <v>1</v>
      </c>
      <c r="B134" s="79">
        <v>112</v>
      </c>
      <c r="C134" s="16" t="str">
        <f t="shared" si="34"/>
        <v>Tue</v>
      </c>
      <c r="D134" s="12">
        <v>44817</v>
      </c>
      <c r="E134">
        <f t="shared" si="49"/>
        <v>14</v>
      </c>
      <c r="F134" s="61">
        <f t="shared" si="40"/>
        <v>168</v>
      </c>
      <c r="G134" s="61">
        <f t="shared" si="56"/>
        <v>37</v>
      </c>
      <c r="H134" s="61">
        <f t="shared" si="41"/>
        <v>112</v>
      </c>
      <c r="I134" s="61">
        <f t="shared" si="42"/>
        <v>80</v>
      </c>
      <c r="J134" s="61">
        <f t="shared" si="43"/>
        <v>9</v>
      </c>
      <c r="K134" s="11">
        <f t="shared" si="44"/>
        <v>8.3333333333333329E-2</v>
      </c>
      <c r="L134" s="11">
        <f t="shared" si="36"/>
        <v>2.0244121348065788E-2</v>
      </c>
      <c r="M134" s="11">
        <f t="shared" si="45"/>
        <v>0.73809523809523814</v>
      </c>
      <c r="N134" s="11">
        <f t="shared" si="37"/>
        <v>0.55879016329808306</v>
      </c>
      <c r="O134" s="11">
        <f t="shared" si="46"/>
        <v>5.3571428571428568E-2</v>
      </c>
      <c r="P134" s="11">
        <f t="shared" si="38"/>
        <v>1.3014078009470863E-2</v>
      </c>
      <c r="Q134" s="11">
        <f t="shared" si="47"/>
        <v>0.59204836265561966</v>
      </c>
      <c r="R134" s="20">
        <f t="shared" si="39"/>
        <v>1</v>
      </c>
      <c r="S134" s="56">
        <v>42.336698544000001</v>
      </c>
      <c r="T134" s="56">
        <v>35.4</v>
      </c>
      <c r="U134" s="56">
        <v>34.610132471727617</v>
      </c>
      <c r="V134" s="20">
        <f t="shared" si="48"/>
        <v>35.619826584547624</v>
      </c>
      <c r="W134" s="20">
        <f>W133</f>
        <v>38.155374568339404</v>
      </c>
      <c r="X134" s="36"/>
      <c r="Y134" s="26"/>
      <c r="Z134" s="26"/>
      <c r="AA134" s="26"/>
      <c r="AB134" s="36"/>
      <c r="AC134" s="29"/>
      <c r="AD134" s="29"/>
      <c r="AE134" s="29"/>
      <c r="AF134" s="29"/>
      <c r="AG134" s="29"/>
      <c r="AH134" s="29"/>
      <c r="AI134" s="26"/>
      <c r="AJ134" s="26"/>
      <c r="AK134" s="26"/>
      <c r="AL134" s="26"/>
      <c r="AM134" s="26"/>
      <c r="AN134" s="26"/>
    </row>
    <row r="135" spans="1:40" x14ac:dyDescent="0.35">
      <c r="A135" s="79">
        <v>1</v>
      </c>
      <c r="B135" s="79">
        <v>113</v>
      </c>
      <c r="C135" s="16" t="str">
        <f t="shared" si="34"/>
        <v>Wed</v>
      </c>
      <c r="D135" s="12">
        <v>44818</v>
      </c>
      <c r="E135">
        <f t="shared" si="49"/>
        <v>13</v>
      </c>
      <c r="F135" s="61">
        <f t="shared" si="40"/>
        <v>168</v>
      </c>
      <c r="G135" s="61">
        <f t="shared" si="56"/>
        <v>37</v>
      </c>
      <c r="H135" s="61">
        <f t="shared" si="41"/>
        <v>113</v>
      </c>
      <c r="I135" s="61">
        <f t="shared" si="42"/>
        <v>81</v>
      </c>
      <c r="J135" s="61">
        <f t="shared" si="43"/>
        <v>10</v>
      </c>
      <c r="K135" s="11">
        <f t="shared" si="44"/>
        <v>7.7380952380952384E-2</v>
      </c>
      <c r="L135" s="11">
        <f t="shared" si="36"/>
        <v>1.8798112680346805E-2</v>
      </c>
      <c r="M135" s="11">
        <f t="shared" si="45"/>
        <v>0.73809523809523814</v>
      </c>
      <c r="N135" s="11">
        <f t="shared" si="37"/>
        <v>0.55879016329808306</v>
      </c>
      <c r="O135" s="11">
        <f t="shared" si="46"/>
        <v>5.9523809523809521E-2</v>
      </c>
      <c r="P135" s="11">
        <f t="shared" si="38"/>
        <v>1.4460086677189848E-2</v>
      </c>
      <c r="Q135" s="11">
        <f t="shared" si="47"/>
        <v>0.59204836265561978</v>
      </c>
      <c r="R135" s="20">
        <f t="shared" si="39"/>
        <v>1</v>
      </c>
      <c r="S135" s="56">
        <v>41.489964573119998</v>
      </c>
      <c r="T135" s="56">
        <v>34.692</v>
      </c>
      <c r="U135" s="56">
        <v>33.917929822293061</v>
      </c>
      <c r="V135" s="20">
        <f t="shared" si="48"/>
        <v>34.888936246315517</v>
      </c>
      <c r="W135" s="20">
        <f>W134</f>
        <v>38.155374568339404</v>
      </c>
      <c r="X135" s="36"/>
      <c r="Y135" s="26"/>
      <c r="Z135" s="26"/>
      <c r="AA135" s="26"/>
      <c r="AB135" s="36"/>
      <c r="AC135" s="29"/>
      <c r="AD135" s="29"/>
      <c r="AE135" s="29"/>
      <c r="AF135" s="29"/>
      <c r="AG135" s="29"/>
      <c r="AH135" s="29"/>
      <c r="AI135" s="26"/>
      <c r="AJ135" s="26"/>
      <c r="AK135" s="26"/>
      <c r="AL135" s="26"/>
      <c r="AM135" s="26"/>
      <c r="AN135" s="26"/>
    </row>
    <row r="136" spans="1:40" x14ac:dyDescent="0.35">
      <c r="A136" s="79">
        <v>1</v>
      </c>
      <c r="B136" s="79">
        <v>114</v>
      </c>
      <c r="C136" s="16" t="str">
        <f t="shared" si="34"/>
        <v>Thu</v>
      </c>
      <c r="D136" s="12">
        <v>44819</v>
      </c>
      <c r="E136">
        <f t="shared" si="49"/>
        <v>12</v>
      </c>
      <c r="F136" s="61">
        <f t="shared" si="40"/>
        <v>168</v>
      </c>
      <c r="G136" s="61">
        <f t="shared" si="56"/>
        <v>37</v>
      </c>
      <c r="H136" s="61">
        <f t="shared" si="41"/>
        <v>114</v>
      </c>
      <c r="I136" s="61">
        <f t="shared" si="42"/>
        <v>82</v>
      </c>
      <c r="J136" s="61">
        <f t="shared" si="43"/>
        <v>11</v>
      </c>
      <c r="K136" s="11">
        <f t="shared" si="44"/>
        <v>7.1428571428571425E-2</v>
      </c>
      <c r="L136" s="11">
        <f t="shared" si="36"/>
        <v>1.7352104012627819E-2</v>
      </c>
      <c r="M136" s="11">
        <f t="shared" si="45"/>
        <v>0.73809523809523814</v>
      </c>
      <c r="N136" s="11">
        <f t="shared" si="37"/>
        <v>0.55879016329808306</v>
      </c>
      <c r="O136" s="11">
        <f t="shared" si="46"/>
        <v>6.5476190476190479E-2</v>
      </c>
      <c r="P136" s="11">
        <f t="shared" si="38"/>
        <v>1.5906095344908836E-2</v>
      </c>
      <c r="Q136" s="11">
        <f t="shared" si="47"/>
        <v>0.59204836265561966</v>
      </c>
      <c r="R136" s="20">
        <f t="shared" si="39"/>
        <v>1</v>
      </c>
      <c r="S136" s="56">
        <v>40.660165281657598</v>
      </c>
      <c r="T136" s="56">
        <v>33.998159999999999</v>
      </c>
      <c r="U136" s="56">
        <v>42.9</v>
      </c>
      <c r="V136" s="20">
        <f t="shared" si="48"/>
        <v>34.432572694279713</v>
      </c>
      <c r="W136" s="20">
        <f>W135</f>
        <v>38.155374568339404</v>
      </c>
      <c r="X136" s="36"/>
      <c r="Y136" s="26"/>
      <c r="Z136" s="26"/>
      <c r="AA136" s="26"/>
      <c r="AB136" s="36"/>
      <c r="AC136" s="29"/>
      <c r="AD136" s="29"/>
      <c r="AE136" s="29"/>
      <c r="AF136" s="29"/>
      <c r="AG136" s="29"/>
      <c r="AH136" s="29"/>
      <c r="AI136" s="26"/>
      <c r="AJ136" s="26"/>
      <c r="AK136" s="26"/>
      <c r="AL136" s="26"/>
      <c r="AM136" s="26"/>
      <c r="AN136" s="26"/>
    </row>
    <row r="137" spans="1:40" x14ac:dyDescent="0.35">
      <c r="A137" s="79">
        <v>1</v>
      </c>
      <c r="B137" s="79">
        <v>115</v>
      </c>
      <c r="C137" s="16" t="str">
        <f t="shared" si="34"/>
        <v>Fri</v>
      </c>
      <c r="D137" s="12">
        <v>44820</v>
      </c>
      <c r="E137">
        <f t="shared" si="49"/>
        <v>11</v>
      </c>
      <c r="F137" s="61">
        <f t="shared" si="40"/>
        <v>168</v>
      </c>
      <c r="G137" s="61">
        <f t="shared" si="56"/>
        <v>37</v>
      </c>
      <c r="H137" s="61">
        <f t="shared" si="41"/>
        <v>115</v>
      </c>
      <c r="I137" s="61">
        <f t="shared" si="42"/>
        <v>83</v>
      </c>
      <c r="J137" s="61">
        <f t="shared" si="43"/>
        <v>12</v>
      </c>
      <c r="K137" s="11">
        <f t="shared" si="44"/>
        <v>6.5476190476190479E-2</v>
      </c>
      <c r="L137" s="11">
        <f t="shared" si="36"/>
        <v>1.5906095344908836E-2</v>
      </c>
      <c r="M137" s="11">
        <f t="shared" si="45"/>
        <v>0.73809523809523814</v>
      </c>
      <c r="N137" s="11">
        <f t="shared" si="37"/>
        <v>0.55879016329808306</v>
      </c>
      <c r="O137" s="11">
        <f t="shared" si="46"/>
        <v>7.1428571428571425E-2</v>
      </c>
      <c r="P137" s="11">
        <f t="shared" si="38"/>
        <v>1.7352104012627819E-2</v>
      </c>
      <c r="Q137" s="11">
        <f t="shared" si="47"/>
        <v>0.59204836265561966</v>
      </c>
      <c r="R137" s="20">
        <f t="shared" si="39"/>
        <v>1</v>
      </c>
      <c r="S137" s="56">
        <v>39.846961976024446</v>
      </c>
      <c r="T137" s="56">
        <v>33.318196799999996</v>
      </c>
      <c r="U137" s="56">
        <v>42.042000000000002</v>
      </c>
      <c r="V137" s="20">
        <f t="shared" si="48"/>
        <v>33.749282363249705</v>
      </c>
      <c r="W137" s="20">
        <f>W136</f>
        <v>38.155374568339404</v>
      </c>
      <c r="X137" s="36"/>
      <c r="Y137" s="26"/>
      <c r="Z137" s="26"/>
      <c r="AA137" s="26"/>
      <c r="AB137" s="36"/>
      <c r="AC137" s="29"/>
      <c r="AD137" s="29"/>
      <c r="AE137" s="29"/>
      <c r="AF137" s="29"/>
      <c r="AG137" s="29"/>
      <c r="AH137" s="29"/>
      <c r="AI137" s="26"/>
      <c r="AJ137" s="26"/>
      <c r="AK137" s="26"/>
      <c r="AL137" s="26"/>
      <c r="AM137" s="26"/>
      <c r="AN137" s="26"/>
    </row>
    <row r="138" spans="1:40" x14ac:dyDescent="0.35">
      <c r="A138" s="79">
        <v>1</v>
      </c>
      <c r="B138" s="79">
        <v>116</v>
      </c>
      <c r="C138" s="16" t="str">
        <f t="shared" si="34"/>
        <v>Mon</v>
      </c>
      <c r="D138" s="12">
        <v>44823</v>
      </c>
      <c r="E138">
        <f t="shared" si="49"/>
        <v>10</v>
      </c>
      <c r="F138" s="61">
        <f t="shared" si="40"/>
        <v>168</v>
      </c>
      <c r="G138" s="61">
        <f t="shared" si="56"/>
        <v>37</v>
      </c>
      <c r="H138" s="61">
        <f t="shared" si="41"/>
        <v>116</v>
      </c>
      <c r="I138" s="61">
        <f t="shared" si="42"/>
        <v>84</v>
      </c>
      <c r="J138" s="61">
        <f t="shared" si="43"/>
        <v>13</v>
      </c>
      <c r="K138" s="11">
        <f t="shared" si="44"/>
        <v>5.9523809523809521E-2</v>
      </c>
      <c r="L138" s="11">
        <f t="shared" si="36"/>
        <v>1.4460086677189848E-2</v>
      </c>
      <c r="M138" s="11">
        <f t="shared" si="45"/>
        <v>0.73809523809523814</v>
      </c>
      <c r="N138" s="11">
        <f t="shared" si="37"/>
        <v>0.55879016329808306</v>
      </c>
      <c r="O138" s="11">
        <f t="shared" si="46"/>
        <v>7.7380952380952384E-2</v>
      </c>
      <c r="P138" s="11">
        <f t="shared" si="38"/>
        <v>1.8798112680346805E-2</v>
      </c>
      <c r="Q138" s="11">
        <f t="shared" si="47"/>
        <v>0.59204836265561978</v>
      </c>
      <c r="R138" s="20">
        <f t="shared" si="39"/>
        <v>1</v>
      </c>
      <c r="S138" s="56">
        <v>39.050022736503955</v>
      </c>
      <c r="T138" s="56">
        <v>32.651832863999992</v>
      </c>
      <c r="U138" s="56">
        <v>41.201160000000002</v>
      </c>
      <c r="V138" s="20">
        <f t="shared" si="48"/>
        <v>33.079550616383166</v>
      </c>
      <c r="W138" s="20">
        <f>AVERAGE(V133:V137)</f>
        <v>34.957711638509736</v>
      </c>
      <c r="X138" s="36"/>
      <c r="Y138" s="26"/>
      <c r="Z138" s="26"/>
      <c r="AA138" s="26"/>
      <c r="AB138" s="36"/>
      <c r="AC138" s="29"/>
      <c r="AD138" s="29"/>
      <c r="AE138" s="29"/>
      <c r="AF138" s="29"/>
      <c r="AG138" s="29"/>
      <c r="AH138" s="29"/>
      <c r="AI138" s="26"/>
      <c r="AJ138" s="26"/>
      <c r="AK138" s="26"/>
      <c r="AL138" s="26"/>
      <c r="AM138" s="26"/>
      <c r="AN138" s="26"/>
    </row>
    <row r="139" spans="1:40" x14ac:dyDescent="0.35">
      <c r="A139" s="79">
        <v>1</v>
      </c>
      <c r="B139" s="79">
        <v>117</v>
      </c>
      <c r="C139" s="16" t="str">
        <f t="shared" si="34"/>
        <v>Tue</v>
      </c>
      <c r="D139" s="12">
        <v>44824</v>
      </c>
      <c r="E139">
        <f t="shared" si="49"/>
        <v>9</v>
      </c>
      <c r="F139" s="61">
        <f t="shared" si="40"/>
        <v>168</v>
      </c>
      <c r="G139" s="61">
        <f t="shared" si="56"/>
        <v>37</v>
      </c>
      <c r="H139" s="61">
        <f t="shared" si="41"/>
        <v>117</v>
      </c>
      <c r="I139" s="61">
        <f t="shared" si="42"/>
        <v>85</v>
      </c>
      <c r="J139" s="61">
        <f t="shared" si="43"/>
        <v>14</v>
      </c>
      <c r="K139" s="11">
        <f t="shared" si="44"/>
        <v>5.3571428571428568E-2</v>
      </c>
      <c r="L139" s="11">
        <f t="shared" si="36"/>
        <v>1.3014078009470863E-2</v>
      </c>
      <c r="M139" s="11">
        <f t="shared" si="45"/>
        <v>0.73809523809523814</v>
      </c>
      <c r="N139" s="11">
        <f t="shared" si="37"/>
        <v>0.55879016329808306</v>
      </c>
      <c r="O139" s="11">
        <f t="shared" si="46"/>
        <v>8.3333333333333329E-2</v>
      </c>
      <c r="P139" s="11">
        <f t="shared" si="38"/>
        <v>2.0244121348065788E-2</v>
      </c>
      <c r="Q139" s="11">
        <f t="shared" si="47"/>
        <v>0.59204836265561966</v>
      </c>
      <c r="R139" s="20">
        <f t="shared" si="39"/>
        <v>1</v>
      </c>
      <c r="S139" s="56">
        <v>38.269022281773879</v>
      </c>
      <c r="T139" s="56">
        <v>51.2</v>
      </c>
      <c r="U139" s="56">
        <v>40.377136800000002</v>
      </c>
      <c r="V139" s="20">
        <f t="shared" si="48"/>
        <v>50.545688404608647</v>
      </c>
      <c r="W139" s="20">
        <f>W138</f>
        <v>34.957711638509736</v>
      </c>
      <c r="X139" s="36"/>
      <c r="Y139" s="26"/>
      <c r="Z139" s="26"/>
      <c r="AA139" s="26"/>
      <c r="AB139" s="36"/>
      <c r="AC139" s="29"/>
      <c r="AD139" s="29"/>
      <c r="AE139" s="29"/>
      <c r="AF139" s="29"/>
      <c r="AG139" s="29"/>
      <c r="AH139" s="29"/>
      <c r="AI139" s="26"/>
      <c r="AJ139" s="26"/>
      <c r="AK139" s="26"/>
      <c r="AL139" s="26"/>
      <c r="AM139" s="26"/>
      <c r="AN139" s="26"/>
    </row>
    <row r="140" spans="1:40" x14ac:dyDescent="0.35">
      <c r="A140" s="79">
        <v>1</v>
      </c>
      <c r="B140" s="79">
        <v>118</v>
      </c>
      <c r="C140" s="16" t="str">
        <f t="shared" si="34"/>
        <v>Wed</v>
      </c>
      <c r="D140" s="12">
        <v>44825</v>
      </c>
      <c r="E140">
        <f t="shared" si="49"/>
        <v>8</v>
      </c>
      <c r="F140" s="61">
        <f t="shared" si="40"/>
        <v>168</v>
      </c>
      <c r="G140" s="61">
        <f t="shared" si="56"/>
        <v>37</v>
      </c>
      <c r="H140" s="61">
        <f t="shared" si="41"/>
        <v>118</v>
      </c>
      <c r="I140" s="61">
        <f t="shared" si="42"/>
        <v>86</v>
      </c>
      <c r="J140" s="61">
        <f t="shared" si="43"/>
        <v>15</v>
      </c>
      <c r="K140" s="11">
        <f t="shared" si="44"/>
        <v>4.7619047619047616E-2</v>
      </c>
      <c r="L140" s="11">
        <f t="shared" si="36"/>
        <v>1.1568069341751879E-2</v>
      </c>
      <c r="M140" s="11">
        <f t="shared" si="45"/>
        <v>0.73809523809523814</v>
      </c>
      <c r="N140" s="11">
        <f t="shared" si="37"/>
        <v>0.55879016329808306</v>
      </c>
      <c r="O140" s="11">
        <f t="shared" si="46"/>
        <v>8.9285714285714288E-2</v>
      </c>
      <c r="P140" s="11">
        <f t="shared" si="38"/>
        <v>2.1690130015784775E-2</v>
      </c>
      <c r="Q140" s="11">
        <f t="shared" si="47"/>
        <v>0.59204836265561978</v>
      </c>
      <c r="R140" s="20">
        <f t="shared" si="39"/>
        <v>1</v>
      </c>
      <c r="S140" s="56">
        <v>39.200000000000003</v>
      </c>
      <c r="T140" s="56">
        <v>50.176000000000002</v>
      </c>
      <c r="U140" s="56">
        <v>39.569594064</v>
      </c>
      <c r="V140" s="20">
        <f t="shared" si="48"/>
        <v>49.572965728871083</v>
      </c>
      <c r="W140" s="20">
        <f>W139</f>
        <v>34.957711638509736</v>
      </c>
      <c r="X140" s="36"/>
      <c r="Y140" s="26"/>
      <c r="Z140" s="26"/>
      <c r="AA140" s="26"/>
      <c r="AB140" s="36"/>
      <c r="AC140" s="29"/>
      <c r="AD140" s="29"/>
      <c r="AE140" s="29"/>
      <c r="AF140" s="29"/>
      <c r="AG140" s="29"/>
      <c r="AH140" s="29"/>
      <c r="AI140" s="26"/>
      <c r="AJ140" s="26"/>
      <c r="AK140" s="26"/>
      <c r="AL140" s="26"/>
      <c r="AM140" s="26"/>
      <c r="AN140" s="26"/>
    </row>
    <row r="141" spans="1:40" x14ac:dyDescent="0.35">
      <c r="A141" s="79">
        <v>1</v>
      </c>
      <c r="B141" s="79">
        <v>119</v>
      </c>
      <c r="C141" s="16" t="str">
        <f t="shared" si="34"/>
        <v>Thu</v>
      </c>
      <c r="D141" s="12">
        <v>44826</v>
      </c>
      <c r="E141">
        <f t="shared" si="49"/>
        <v>7</v>
      </c>
      <c r="F141" s="61">
        <f t="shared" si="40"/>
        <v>168</v>
      </c>
      <c r="G141" s="61">
        <f t="shared" si="56"/>
        <v>37</v>
      </c>
      <c r="H141" s="61">
        <f t="shared" si="41"/>
        <v>119</v>
      </c>
      <c r="I141" s="61">
        <f t="shared" si="42"/>
        <v>87</v>
      </c>
      <c r="J141" s="61">
        <f t="shared" si="43"/>
        <v>16</v>
      </c>
      <c r="K141" s="11">
        <f t="shared" si="44"/>
        <v>4.1666666666666664E-2</v>
      </c>
      <c r="L141" s="11">
        <f t="shared" si="36"/>
        <v>1.0122060674032894E-2</v>
      </c>
      <c r="M141" s="11">
        <f t="shared" si="45"/>
        <v>0.73809523809523814</v>
      </c>
      <c r="N141" s="11">
        <f t="shared" si="37"/>
        <v>0.55879016329808306</v>
      </c>
      <c r="O141" s="11">
        <f t="shared" si="46"/>
        <v>9.5238095238095233E-2</v>
      </c>
      <c r="P141" s="11">
        <f t="shared" si="38"/>
        <v>2.3136138683503758E-2</v>
      </c>
      <c r="Q141" s="11">
        <f t="shared" si="47"/>
        <v>0.59204836265561966</v>
      </c>
      <c r="R141" s="20">
        <f t="shared" si="39"/>
        <v>1</v>
      </c>
      <c r="S141" s="56">
        <v>38.416000000000004</v>
      </c>
      <c r="T141" s="56">
        <v>49.17248</v>
      </c>
      <c r="U141" s="56">
        <v>38.778202182720001</v>
      </c>
      <c r="V141" s="20">
        <f t="shared" si="48"/>
        <v>48.582391050632033</v>
      </c>
      <c r="W141" s="20">
        <f>W140</f>
        <v>34.957711638509736</v>
      </c>
      <c r="X141" s="36"/>
      <c r="Y141" s="26"/>
      <c r="Z141" s="26"/>
      <c r="AA141" s="26"/>
      <c r="AB141" s="36"/>
      <c r="AC141" s="29"/>
      <c r="AD141" s="29"/>
      <c r="AE141" s="29"/>
      <c r="AF141" s="29"/>
      <c r="AG141" s="29"/>
      <c r="AH141" s="29"/>
      <c r="AI141" s="26"/>
      <c r="AJ141" s="26"/>
      <c r="AK141" s="26"/>
      <c r="AL141" s="26"/>
      <c r="AM141" s="26"/>
      <c r="AN141" s="26"/>
    </row>
    <row r="142" spans="1:40" x14ac:dyDescent="0.35">
      <c r="A142" s="79">
        <v>1</v>
      </c>
      <c r="B142" s="79">
        <v>120</v>
      </c>
      <c r="C142" s="16" t="str">
        <f t="shared" si="34"/>
        <v>Fri</v>
      </c>
      <c r="D142" s="12">
        <v>44827</v>
      </c>
      <c r="E142">
        <f t="shared" si="49"/>
        <v>6</v>
      </c>
      <c r="F142" s="61">
        <f t="shared" si="40"/>
        <v>168</v>
      </c>
      <c r="G142" s="61">
        <f t="shared" si="56"/>
        <v>37</v>
      </c>
      <c r="H142" s="61">
        <f t="shared" si="41"/>
        <v>120</v>
      </c>
      <c r="I142" s="61">
        <f t="shared" si="42"/>
        <v>88</v>
      </c>
      <c r="J142" s="61">
        <f t="shared" si="43"/>
        <v>17</v>
      </c>
      <c r="K142" s="11">
        <f t="shared" si="44"/>
        <v>3.5714285714285712E-2</v>
      </c>
      <c r="L142" s="11">
        <f t="shared" si="36"/>
        <v>8.6760520063139095E-3</v>
      </c>
      <c r="M142" s="11">
        <f t="shared" si="45"/>
        <v>0.73809523809523814</v>
      </c>
      <c r="N142" s="11">
        <f t="shared" si="37"/>
        <v>0.55879016329808306</v>
      </c>
      <c r="O142" s="11">
        <f t="shared" si="46"/>
        <v>0.10119047619047619</v>
      </c>
      <c r="P142" s="11">
        <f t="shared" si="38"/>
        <v>2.4582147351222744E-2</v>
      </c>
      <c r="Q142" s="11">
        <f t="shared" si="47"/>
        <v>0.59204836265561978</v>
      </c>
      <c r="R142" s="20">
        <f t="shared" si="39"/>
        <v>1</v>
      </c>
      <c r="S142" s="56">
        <v>37.647680000000001</v>
      </c>
      <c r="T142" s="56">
        <v>48.1890304</v>
      </c>
      <c r="U142" s="56">
        <v>38.002638139065603</v>
      </c>
      <c r="V142" s="20">
        <f t="shared" si="48"/>
        <v>47.611610173230993</v>
      </c>
      <c r="W142" s="20">
        <f>W141</f>
        <v>34.957711638509736</v>
      </c>
      <c r="X142" s="36"/>
      <c r="Y142" s="26"/>
      <c r="Z142" s="26"/>
      <c r="AA142" s="26"/>
      <c r="AB142" s="36"/>
      <c r="AC142" s="29"/>
      <c r="AD142" s="29"/>
      <c r="AE142" s="29"/>
      <c r="AF142" s="29"/>
      <c r="AG142" s="29"/>
      <c r="AH142" s="29"/>
      <c r="AI142" s="26"/>
      <c r="AJ142" s="26"/>
      <c r="AK142" s="26"/>
      <c r="AL142" s="26"/>
      <c r="AM142" s="26"/>
      <c r="AN142" s="26"/>
    </row>
    <row r="143" spans="1:40" x14ac:dyDescent="0.35">
      <c r="A143" s="79">
        <v>1</v>
      </c>
      <c r="B143" s="79">
        <v>121</v>
      </c>
      <c r="C143" s="16" t="str">
        <f t="shared" si="34"/>
        <v>Mon</v>
      </c>
      <c r="D143" s="12">
        <v>44830</v>
      </c>
      <c r="E143">
        <f t="shared" si="49"/>
        <v>5</v>
      </c>
      <c r="F143" s="61">
        <f t="shared" si="40"/>
        <v>168</v>
      </c>
      <c r="G143" s="61">
        <f t="shared" si="56"/>
        <v>37</v>
      </c>
      <c r="H143" s="61">
        <f t="shared" si="41"/>
        <v>121</v>
      </c>
      <c r="I143" s="61">
        <f t="shared" si="42"/>
        <v>89</v>
      </c>
      <c r="J143" s="61">
        <f t="shared" si="43"/>
        <v>18</v>
      </c>
      <c r="K143" s="11">
        <f t="shared" si="44"/>
        <v>2.976190476190476E-2</v>
      </c>
      <c r="L143" s="11">
        <f t="shared" si="36"/>
        <v>7.230043338594924E-3</v>
      </c>
      <c r="M143" s="11">
        <f t="shared" si="45"/>
        <v>0.73809523809523814</v>
      </c>
      <c r="N143" s="11">
        <f t="shared" si="37"/>
        <v>0.55879016329808306</v>
      </c>
      <c r="O143" s="11">
        <f t="shared" si="46"/>
        <v>0.10714285714285714</v>
      </c>
      <c r="P143" s="11">
        <f t="shared" si="38"/>
        <v>2.6028156018941727E-2</v>
      </c>
      <c r="Q143" s="11">
        <f t="shared" si="47"/>
        <v>0.59204836265561966</v>
      </c>
      <c r="R143" s="20">
        <f t="shared" si="39"/>
        <v>1</v>
      </c>
      <c r="S143" s="56">
        <v>36.894726400000003</v>
      </c>
      <c r="T143" s="56">
        <v>47.225249792</v>
      </c>
      <c r="U143" s="56">
        <v>37.242585376284289</v>
      </c>
      <c r="V143" s="20">
        <f t="shared" si="48"/>
        <v>46.660227574505768</v>
      </c>
      <c r="W143" s="20">
        <f>AVERAGE(V138:V142)</f>
        <v>45.878441194745179</v>
      </c>
      <c r="X143" s="36"/>
      <c r="Y143" s="26"/>
      <c r="Z143" s="26"/>
      <c r="AA143" s="26"/>
      <c r="AB143" s="36"/>
      <c r="AC143" s="29"/>
      <c r="AD143" s="29"/>
      <c r="AE143" s="29"/>
      <c r="AF143" s="29"/>
      <c r="AG143" s="29"/>
      <c r="AH143" s="29"/>
      <c r="AI143" s="26"/>
      <c r="AJ143" s="26"/>
      <c r="AK143" s="26"/>
      <c r="AL143" s="26"/>
      <c r="AM143" s="26"/>
      <c r="AN143" s="26"/>
    </row>
    <row r="144" spans="1:40" x14ac:dyDescent="0.35">
      <c r="A144" s="79">
        <v>1</v>
      </c>
      <c r="B144" s="79">
        <v>122</v>
      </c>
      <c r="C144" s="16" t="str">
        <f t="shared" si="34"/>
        <v>Tue</v>
      </c>
      <c r="D144" s="12">
        <v>44831</v>
      </c>
      <c r="E144">
        <f t="shared" si="49"/>
        <v>4</v>
      </c>
      <c r="F144" s="61">
        <f t="shared" si="40"/>
        <v>168</v>
      </c>
      <c r="G144" s="61">
        <f t="shared" si="56"/>
        <v>37</v>
      </c>
      <c r="H144" s="61">
        <f t="shared" si="41"/>
        <v>122</v>
      </c>
      <c r="I144" s="61">
        <f t="shared" si="42"/>
        <v>90</v>
      </c>
      <c r="J144" s="61">
        <f t="shared" si="43"/>
        <v>19</v>
      </c>
      <c r="K144" s="11">
        <f t="shared" si="44"/>
        <v>2.3809523809523808E-2</v>
      </c>
      <c r="L144" s="11">
        <f t="shared" si="36"/>
        <v>5.7840346708759394E-3</v>
      </c>
      <c r="M144" s="11">
        <f t="shared" si="45"/>
        <v>0.73809523809523814</v>
      </c>
      <c r="N144" s="11">
        <f t="shared" si="37"/>
        <v>0.55879016329808306</v>
      </c>
      <c r="O144" s="11">
        <f t="shared" si="46"/>
        <v>0.1130952380952381</v>
      </c>
      <c r="P144" s="11">
        <f t="shared" si="38"/>
        <v>2.7474164686660713E-2</v>
      </c>
      <c r="Q144" s="11">
        <f t="shared" si="47"/>
        <v>0.59204836265561978</v>
      </c>
      <c r="R144" s="20">
        <f t="shared" si="39"/>
        <v>1</v>
      </c>
      <c r="S144" s="56">
        <v>36.156831872000005</v>
      </c>
      <c r="T144" s="56">
        <v>46.28074479616</v>
      </c>
      <c r="U144" s="56">
        <v>36.497733668758606</v>
      </c>
      <c r="V144" s="20">
        <f t="shared" si="48"/>
        <v>45.727855635660227</v>
      </c>
      <c r="W144" s="20">
        <f>W143</f>
        <v>45.878441194745179</v>
      </c>
      <c r="X144" s="36"/>
      <c r="Y144" s="26"/>
      <c r="Z144" s="26"/>
      <c r="AA144" s="26"/>
      <c r="AB144" s="36"/>
      <c r="AC144" s="29"/>
      <c r="AD144" s="29"/>
      <c r="AE144" s="29"/>
      <c r="AF144" s="29"/>
      <c r="AG144" s="29"/>
      <c r="AH144" s="29"/>
      <c r="AI144" s="26"/>
      <c r="AJ144" s="26"/>
      <c r="AK144" s="26"/>
      <c r="AL144" s="26"/>
      <c r="AM144" s="26"/>
      <c r="AN144" s="26"/>
    </row>
    <row r="145" spans="1:40" x14ac:dyDescent="0.35">
      <c r="A145" s="79">
        <v>1</v>
      </c>
      <c r="B145" s="79">
        <v>123</v>
      </c>
      <c r="C145" s="16" t="str">
        <f t="shared" si="34"/>
        <v>Wed</v>
      </c>
      <c r="D145" s="12">
        <v>44832</v>
      </c>
      <c r="E145">
        <f t="shared" si="49"/>
        <v>3</v>
      </c>
      <c r="F145" s="61">
        <f t="shared" si="40"/>
        <v>168</v>
      </c>
      <c r="G145" s="61">
        <f t="shared" si="56"/>
        <v>37</v>
      </c>
      <c r="H145" s="61">
        <f t="shared" si="41"/>
        <v>123</v>
      </c>
      <c r="I145" s="61">
        <f t="shared" si="42"/>
        <v>91</v>
      </c>
      <c r="J145" s="61">
        <f t="shared" si="43"/>
        <v>20</v>
      </c>
      <c r="K145" s="11">
        <f t="shared" si="44"/>
        <v>1.7857142857142856E-2</v>
      </c>
      <c r="L145" s="11">
        <f t="shared" si="36"/>
        <v>4.3380260031569548E-3</v>
      </c>
      <c r="M145" s="11">
        <f t="shared" si="45"/>
        <v>0.73809523809523814</v>
      </c>
      <c r="N145" s="11">
        <f t="shared" si="37"/>
        <v>0.55879016329808306</v>
      </c>
      <c r="O145" s="11">
        <f t="shared" si="46"/>
        <v>0.11904761904761904</v>
      </c>
      <c r="P145" s="11">
        <f t="shared" si="38"/>
        <v>2.8920173354379696E-2</v>
      </c>
      <c r="Q145" s="11">
        <f t="shared" si="47"/>
        <v>0.59204836265561966</v>
      </c>
      <c r="R145" s="20">
        <f t="shared" si="39"/>
        <v>1</v>
      </c>
      <c r="S145" s="56">
        <v>35.433695234560005</v>
      </c>
      <c r="T145" s="56">
        <v>45.355129900236804</v>
      </c>
      <c r="U145" s="56">
        <v>35.767778995383431</v>
      </c>
      <c r="V145" s="20">
        <f t="shared" si="48"/>
        <v>44.814114483338727</v>
      </c>
      <c r="W145" s="20">
        <f>W144</f>
        <v>45.878441194745179</v>
      </c>
      <c r="X145" s="36"/>
      <c r="Y145" s="26"/>
      <c r="Z145" s="26"/>
      <c r="AA145" s="26"/>
      <c r="AB145" s="36"/>
      <c r="AC145" s="29"/>
      <c r="AD145" s="29"/>
      <c r="AE145" s="29"/>
      <c r="AF145" s="29"/>
      <c r="AG145" s="29"/>
      <c r="AH145" s="29"/>
      <c r="AI145" s="26"/>
      <c r="AJ145" s="26"/>
      <c r="AK145" s="26"/>
      <c r="AL145" s="26"/>
      <c r="AM145" s="26"/>
      <c r="AN145" s="26"/>
    </row>
    <row r="146" spans="1:40" x14ac:dyDescent="0.35">
      <c r="A146" s="79">
        <v>1</v>
      </c>
      <c r="B146" s="79">
        <v>124</v>
      </c>
      <c r="C146" s="16" t="str">
        <f t="shared" si="34"/>
        <v>Thu</v>
      </c>
      <c r="D146" s="12">
        <v>44833</v>
      </c>
      <c r="E146">
        <f t="shared" si="49"/>
        <v>2</v>
      </c>
      <c r="F146" s="61">
        <f t="shared" si="40"/>
        <v>168</v>
      </c>
      <c r="G146" s="61">
        <f t="shared" si="56"/>
        <v>37</v>
      </c>
      <c r="H146" s="61">
        <f t="shared" si="41"/>
        <v>124</v>
      </c>
      <c r="I146" s="61">
        <f t="shared" si="42"/>
        <v>92</v>
      </c>
      <c r="J146" s="61">
        <f t="shared" si="43"/>
        <v>21</v>
      </c>
      <c r="K146" s="11">
        <f t="shared" si="44"/>
        <v>1.1904761904761904E-2</v>
      </c>
      <c r="L146" s="11">
        <f t="shared" si="36"/>
        <v>2.8920173354379697E-3</v>
      </c>
      <c r="M146" s="11">
        <f t="shared" si="45"/>
        <v>0.73809523809523814</v>
      </c>
      <c r="N146" s="11">
        <f t="shared" si="37"/>
        <v>0.55879016329808306</v>
      </c>
      <c r="O146" s="11">
        <f t="shared" si="46"/>
        <v>0.125</v>
      </c>
      <c r="P146" s="11">
        <f t="shared" si="38"/>
        <v>3.0366182022098683E-2</v>
      </c>
      <c r="Q146" s="11">
        <f t="shared" si="47"/>
        <v>0.59204836265561978</v>
      </c>
      <c r="R146" s="20">
        <f t="shared" si="39"/>
        <v>0.99999999999999989</v>
      </c>
      <c r="S146" s="56">
        <v>34.725021329868802</v>
      </c>
      <c r="T146" s="56">
        <v>44.44802730223207</v>
      </c>
      <c r="U146" s="56">
        <v>35.052423415475765</v>
      </c>
      <c r="V146" s="20">
        <f t="shared" si="48"/>
        <v>43.918631834855802</v>
      </c>
      <c r="W146" s="20">
        <f>W145</f>
        <v>45.878441194745179</v>
      </c>
      <c r="X146" s="36"/>
      <c r="Y146" s="26"/>
      <c r="Z146" s="26"/>
      <c r="AA146" s="26"/>
      <c r="AB146" s="36"/>
      <c r="AC146" s="29"/>
      <c r="AD146" s="29"/>
      <c r="AE146" s="29"/>
      <c r="AF146" s="29"/>
      <c r="AG146" s="29"/>
      <c r="AH146" s="29"/>
      <c r="AI146" s="26"/>
      <c r="AJ146" s="26"/>
      <c r="AK146" s="26"/>
      <c r="AL146" s="26"/>
      <c r="AM146" s="26"/>
      <c r="AN146" s="26"/>
    </row>
    <row r="147" spans="1:40" x14ac:dyDescent="0.35">
      <c r="A147" s="79">
        <v>1</v>
      </c>
      <c r="B147" s="79">
        <v>125</v>
      </c>
      <c r="C147" s="16" t="str">
        <f t="shared" si="34"/>
        <v>Fri</v>
      </c>
      <c r="D147" s="12">
        <v>44834</v>
      </c>
      <c r="E147">
        <f t="shared" si="49"/>
        <v>1</v>
      </c>
      <c r="F147" s="61">
        <f t="shared" si="40"/>
        <v>168</v>
      </c>
      <c r="G147" s="61">
        <f t="shared" si="56"/>
        <v>37</v>
      </c>
      <c r="H147" s="61">
        <f t="shared" si="41"/>
        <v>125</v>
      </c>
      <c r="I147" s="61">
        <f t="shared" si="42"/>
        <v>93</v>
      </c>
      <c r="J147" s="61">
        <f t="shared" si="43"/>
        <v>22</v>
      </c>
      <c r="K147" s="11">
        <f t="shared" si="44"/>
        <v>5.9523809523809521E-3</v>
      </c>
      <c r="L147" s="11">
        <f t="shared" si="36"/>
        <v>1.4460086677189849E-3</v>
      </c>
      <c r="M147" s="11">
        <f t="shared" si="45"/>
        <v>0.73809523809523814</v>
      </c>
      <c r="N147" s="11">
        <f t="shared" si="37"/>
        <v>0.55879016329808306</v>
      </c>
      <c r="O147" s="11">
        <f t="shared" si="46"/>
        <v>0.13095238095238096</v>
      </c>
      <c r="P147" s="11">
        <f t="shared" si="38"/>
        <v>3.1812190689817672E-2</v>
      </c>
      <c r="Q147" s="11">
        <f t="shared" si="47"/>
        <v>0.59204836265561966</v>
      </c>
      <c r="R147" s="20">
        <f t="shared" si="39"/>
        <v>1</v>
      </c>
      <c r="S147" s="56">
        <v>34.030520903271423</v>
      </c>
      <c r="T147" s="56">
        <v>43.559066756187427</v>
      </c>
      <c r="U147" s="56">
        <v>34.351374947166249</v>
      </c>
      <c r="V147" s="20">
        <f t="shared" si="48"/>
        <v>43.041042846518884</v>
      </c>
      <c r="W147" s="20">
        <f>W146</f>
        <v>45.878441194745179</v>
      </c>
      <c r="X147" s="36"/>
      <c r="Y147" s="26"/>
      <c r="Z147" s="26"/>
      <c r="AA147" s="26"/>
      <c r="AB147" s="36"/>
      <c r="AC147" s="29"/>
      <c r="AD147" s="29"/>
      <c r="AE147" s="29"/>
      <c r="AF147" s="29"/>
      <c r="AG147" s="29"/>
      <c r="AH147" s="29"/>
      <c r="AI147" s="26"/>
      <c r="AJ147" s="26"/>
      <c r="AK147" s="26"/>
      <c r="AL147" s="26"/>
      <c r="AM147" s="26"/>
      <c r="AN147" s="26"/>
    </row>
  </sheetData>
  <mergeCells count="2">
    <mergeCell ref="C19:D19"/>
    <mergeCell ref="C18:D18"/>
  </mergeCells>
  <conditionalFormatting sqref="D9">
    <cfRule type="cellIs" dxfId="1" priority="1" operator="equal">
      <formula>"Yes"</formula>
    </cfRule>
    <cfRule type="cellIs" dxfId="0" priority="2" operator="equal">
      <formula>"No"</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68D9-F3C3-422D-8FE9-A5605A32DA0E}">
  <sheetPr>
    <pageSetUpPr autoPageBreaks="0"/>
  </sheetPr>
  <dimension ref="B6:H19"/>
  <sheetViews>
    <sheetView zoomScale="80" zoomScaleNormal="80" workbookViewId="0">
      <selection activeCell="A9" sqref="A9"/>
    </sheetView>
  </sheetViews>
  <sheetFormatPr defaultColWidth="8.7265625" defaultRowHeight="14.5" x14ac:dyDescent="0.35"/>
  <cols>
    <col min="1" max="1" width="2.6328125" style="26" customWidth="1"/>
    <col min="2" max="2" width="47" style="26" customWidth="1"/>
    <col min="3" max="3" width="26.81640625" style="26" customWidth="1"/>
    <col min="4" max="6" width="32.08984375" style="26" customWidth="1"/>
    <col min="7" max="7" width="19.36328125" style="26" customWidth="1"/>
    <col min="8" max="8" width="20.36328125" style="26" customWidth="1"/>
    <col min="9" max="16384" width="8.7265625" style="26"/>
  </cols>
  <sheetData>
    <row r="6" spans="2:8" x14ac:dyDescent="0.35">
      <c r="B6" s="28" t="s">
        <v>1</v>
      </c>
      <c r="C6" s="51" t="str">
        <f>IF(OR('Elec Calculations'!C13="MSC Triggered",'Gas Calculations'!C13="MSC Triggered"),"Yes","No")</f>
        <v>Yes</v>
      </c>
    </row>
    <row r="8" spans="2:8" x14ac:dyDescent="0.35">
      <c r="B8" s="28" t="s">
        <v>2</v>
      </c>
      <c r="C8" s="63" t="s">
        <v>3</v>
      </c>
      <c r="D8" s="63" t="s">
        <v>4</v>
      </c>
      <c r="E8" s="63" t="s">
        <v>5</v>
      </c>
      <c r="F8" s="63" t="s">
        <v>6</v>
      </c>
      <c r="G8" s="63" t="s">
        <v>7</v>
      </c>
      <c r="H8" s="63" t="s">
        <v>8</v>
      </c>
    </row>
    <row r="9" spans="2:8" x14ac:dyDescent="0.35">
      <c r="C9" s="64">
        <v>44760</v>
      </c>
      <c r="D9" s="64">
        <f>C9+2</f>
        <v>44762</v>
      </c>
      <c r="E9" s="64">
        <v>44686</v>
      </c>
      <c r="F9" s="65" t="str">
        <f>C6</f>
        <v>Yes</v>
      </c>
      <c r="G9" s="65">
        <f>IF('Gas Calculations'!C28&lt;=0,0,'Gas Calculations'!C28)</f>
        <v>37.054905212024558</v>
      </c>
      <c r="H9" s="65">
        <f>IF('Elec Calculations'!C28&lt;=0,0,'Elec Calculations'!C28)</f>
        <v>62.087037719458877</v>
      </c>
    </row>
    <row r="11" spans="2:8" x14ac:dyDescent="0.35">
      <c r="B11" s="72" t="s">
        <v>9</v>
      </c>
      <c r="C11" s="63" t="s">
        <v>3</v>
      </c>
      <c r="D11" s="63" t="s">
        <v>4</v>
      </c>
      <c r="E11" s="63" t="s">
        <v>5</v>
      </c>
      <c r="F11" s="63" t="s">
        <v>6</v>
      </c>
      <c r="G11" s="63" t="s">
        <v>7</v>
      </c>
      <c r="H11" s="63" t="s">
        <v>8</v>
      </c>
    </row>
    <row r="12" spans="2:8" x14ac:dyDescent="0.35">
      <c r="C12" s="73">
        <f>C9</f>
        <v>44760</v>
      </c>
      <c r="D12" s="73">
        <f>D9</f>
        <v>44762</v>
      </c>
      <c r="E12" s="73">
        <f>E9</f>
        <v>44686</v>
      </c>
      <c r="F12" s="74" t="str">
        <f>C6</f>
        <v>Yes</v>
      </c>
      <c r="G12" s="74">
        <f>'Gas Calculations'!C28</f>
        <v>37.054905212024558</v>
      </c>
      <c r="H12" s="74">
        <f>'Elec Calculations'!C28</f>
        <v>62.087037719458877</v>
      </c>
    </row>
    <row r="14" spans="2:8" x14ac:dyDescent="0.35">
      <c r="B14" s="28" t="s">
        <v>10</v>
      </c>
      <c r="C14" s="63" t="s">
        <v>3</v>
      </c>
      <c r="D14" s="63" t="s">
        <v>4</v>
      </c>
      <c r="E14" s="63" t="s">
        <v>5</v>
      </c>
      <c r="F14" s="63" t="s">
        <v>6</v>
      </c>
      <c r="G14" s="63" t="s">
        <v>7</v>
      </c>
      <c r="H14" s="63" t="s">
        <v>8</v>
      </c>
    </row>
    <row r="15" spans="2:8" x14ac:dyDescent="0.35">
      <c r="C15" s="66"/>
      <c r="D15" s="67">
        <v>44665</v>
      </c>
      <c r="E15" s="67">
        <v>44671</v>
      </c>
      <c r="F15" s="65" t="s">
        <v>11</v>
      </c>
      <c r="G15" s="65">
        <v>0</v>
      </c>
      <c r="H15" s="65">
        <v>0</v>
      </c>
    </row>
    <row r="16" spans="2:8" x14ac:dyDescent="0.35">
      <c r="C16" s="66"/>
      <c r="D16" s="66"/>
      <c r="E16" s="66"/>
      <c r="F16" s="66"/>
      <c r="G16" s="66"/>
      <c r="H16" s="66"/>
    </row>
    <row r="17" spans="3:8" x14ac:dyDescent="0.35">
      <c r="C17" s="66"/>
      <c r="D17" s="66"/>
      <c r="E17" s="66"/>
      <c r="F17" s="66"/>
      <c r="G17" s="66"/>
      <c r="H17" s="66"/>
    </row>
    <row r="18" spans="3:8" x14ac:dyDescent="0.35">
      <c r="C18" s="66"/>
      <c r="D18" s="66"/>
      <c r="E18" s="66"/>
      <c r="F18" s="66"/>
      <c r="G18" s="66"/>
      <c r="H18" s="66"/>
    </row>
    <row r="19" spans="3:8" x14ac:dyDescent="0.35">
      <c r="C19" s="66"/>
      <c r="D19" s="66"/>
      <c r="E19" s="66"/>
      <c r="F19" s="66"/>
      <c r="G19" s="66"/>
      <c r="H19" s="66"/>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E13E-CE28-43CA-84BF-CACA42B473F1}">
  <sheetPr>
    <pageSetUpPr autoPageBreaks="0"/>
  </sheetPr>
  <dimension ref="A1:K187"/>
  <sheetViews>
    <sheetView topLeftCell="A2" zoomScale="55" zoomScaleNormal="55" workbookViewId="0">
      <selection activeCell="A2" sqref="A2:A3"/>
    </sheetView>
  </sheetViews>
  <sheetFormatPr defaultColWidth="0" defaultRowHeight="14.5" zeroHeight="1" x14ac:dyDescent="0.35"/>
  <cols>
    <col min="1" max="1" width="60.36328125" customWidth="1"/>
    <col min="2" max="2" width="8.08984375" customWidth="1"/>
    <col min="3" max="3" width="17.36328125" customWidth="1"/>
    <col min="4" max="4" width="14.08984375" customWidth="1"/>
    <col min="5" max="5" width="13.81640625" customWidth="1"/>
    <col min="6" max="6" width="11" customWidth="1"/>
    <col min="7" max="9" width="4.6328125" bestFit="1" customWidth="1"/>
    <col min="10" max="10" width="8.36328125" bestFit="1" customWidth="1"/>
    <col min="11" max="11" width="83.36328125" customWidth="1"/>
    <col min="12" max="16384" width="8.6328125" hidden="1"/>
  </cols>
  <sheetData>
    <row r="1" spans="1:11" ht="43" customHeight="1" x14ac:dyDescent="0.35">
      <c r="A1" s="26"/>
    </row>
    <row r="2" spans="1:11" ht="409.6" customHeight="1" x14ac:dyDescent="0.35">
      <c r="A2" s="80" t="s">
        <v>12</v>
      </c>
      <c r="B2" s="48"/>
      <c r="C2" s="49"/>
      <c r="D2" s="49"/>
      <c r="E2" s="49"/>
      <c r="F2" s="49"/>
      <c r="G2" s="49"/>
      <c r="H2" s="49"/>
      <c r="I2" s="49"/>
      <c r="J2" s="49"/>
      <c r="K2" s="26"/>
    </row>
    <row r="3" spans="1:11" ht="97.5" customHeight="1" x14ac:dyDescent="0.35">
      <c r="A3" s="80"/>
      <c r="B3" s="48"/>
      <c r="C3" s="49"/>
      <c r="D3" s="49"/>
      <c r="E3" s="49"/>
      <c r="F3" s="49"/>
      <c r="G3" s="49"/>
      <c r="H3" s="49"/>
      <c r="I3" s="49"/>
      <c r="J3" s="49"/>
      <c r="K3" s="26"/>
    </row>
    <row r="4" spans="1:11" ht="31" x14ac:dyDescent="0.35">
      <c r="A4" s="26"/>
      <c r="B4" s="45" t="s">
        <v>13</v>
      </c>
      <c r="C4" s="17" t="s">
        <v>14</v>
      </c>
      <c r="D4" s="57" t="s">
        <v>15</v>
      </c>
      <c r="E4" s="58" t="s">
        <v>16</v>
      </c>
      <c r="F4" s="46" t="s">
        <v>17</v>
      </c>
      <c r="G4" s="46" t="s">
        <v>18</v>
      </c>
      <c r="H4" s="46" t="s">
        <v>19</v>
      </c>
      <c r="I4" s="46" t="s">
        <v>20</v>
      </c>
      <c r="J4" s="47" t="s">
        <v>21</v>
      </c>
      <c r="K4" s="26"/>
    </row>
    <row r="5" spans="1:11" x14ac:dyDescent="0.35">
      <c r="A5" s="26"/>
      <c r="B5" s="16" t="s">
        <v>22</v>
      </c>
      <c r="C5" s="12">
        <v>44652</v>
      </c>
      <c r="D5" s="5" t="s">
        <v>23</v>
      </c>
      <c r="E5" s="5" t="s">
        <v>23</v>
      </c>
      <c r="F5" s="25" t="s">
        <v>23</v>
      </c>
      <c r="G5" s="43">
        <f t="shared" ref="G5:G68" si="0">X</f>
        <v>0.85</v>
      </c>
      <c r="H5" s="43">
        <f>VLOOKUP(MONTH(C5),'Elec Calculations'!$A$39:'Elec Calculations'!$D$50,4,FALSE)</f>
        <v>0.60877999999999999</v>
      </c>
      <c r="I5" s="43">
        <f>'Elec Calculations'!$C$24</f>
        <v>1</v>
      </c>
      <c r="J5" s="43" t="s">
        <v>23</v>
      </c>
      <c r="K5" s="26"/>
    </row>
    <row r="6" spans="1:11" x14ac:dyDescent="0.35">
      <c r="A6" s="26"/>
      <c r="B6" s="16" t="s">
        <v>24</v>
      </c>
      <c r="C6" s="12">
        <v>44655</v>
      </c>
      <c r="D6" s="5">
        <f>IFERROR(VLOOKUP(C6,'Elec Wc'!$D$23:$W$1048576,20,FALSE),"NA")*(1+'Elec Calculations'!$C$18)</f>
        <v>268.29688538409488</v>
      </c>
      <c r="E6" s="5">
        <f>IFERROR(VLOOKUP(C6,'Elec Wpc'!$D$22:$V$204,19,FALSE),"NA")*(1+'Elec Calculations'!$C$18)</f>
        <v>157.72027158010931</v>
      </c>
      <c r="F6" s="43">
        <f>IFERROR(VLOOKUP(C6,'Elec Wpc'!$D$22:$W$204,20,FALSE),"NA")*MAX(0,E6-D6)</f>
        <v>0</v>
      </c>
      <c r="G6" s="43">
        <f t="shared" si="0"/>
        <v>0.85</v>
      </c>
      <c r="H6" s="43">
        <f>VLOOKUP(MONTH(C6),'Elec Calculations'!$A$39:'Elec Calculations'!$D$50,4,FALSE)</f>
        <v>0.60877999999999999</v>
      </c>
      <c r="I6" s="43">
        <f>'Elec Calculations'!$C$24</f>
        <v>1</v>
      </c>
      <c r="J6" s="43">
        <f t="shared" ref="J6:J69" si="1">G6*F6*H6*I6</f>
        <v>0</v>
      </c>
      <c r="K6" s="26"/>
    </row>
    <row r="7" spans="1:11" x14ac:dyDescent="0.35">
      <c r="A7" s="26"/>
      <c r="B7" s="16" t="s">
        <v>25</v>
      </c>
      <c r="C7" s="12">
        <v>44656</v>
      </c>
      <c r="D7" s="5">
        <f>IFERROR(VLOOKUP(C7,'Elec Wc'!$D$23:$W$1048576,20,FALSE),"NA")*(1+'Elec Calculations'!$C$18)</f>
        <v>268.29688538409488</v>
      </c>
      <c r="E7" s="5">
        <f>IFERROR(VLOOKUP(C7,'Elec Wpc'!$D$22:$V$204,19,FALSE),"NA")*(1+'Elec Calculations'!$C$18)</f>
        <v>157.72027158010931</v>
      </c>
      <c r="F7" s="43">
        <f>IFERROR(VLOOKUP(C7,'Elec Wpc'!$D$22:$W$204,20,FALSE),"NA")*MAX(0,E7-D7)</f>
        <v>0</v>
      </c>
      <c r="G7" s="43">
        <f t="shared" si="0"/>
        <v>0.85</v>
      </c>
      <c r="H7" s="43">
        <f>VLOOKUP(MONTH(C7),'Elec Calculations'!$A$39:'Elec Calculations'!$D$50,4,FALSE)</f>
        <v>0.60877999999999999</v>
      </c>
      <c r="I7" s="43">
        <f>'Elec Calculations'!$C$24</f>
        <v>1</v>
      </c>
      <c r="J7" s="43">
        <f t="shared" si="1"/>
        <v>0</v>
      </c>
      <c r="K7" s="26"/>
    </row>
    <row r="8" spans="1:11" x14ac:dyDescent="0.35">
      <c r="A8" s="26"/>
      <c r="B8" s="16" t="s">
        <v>26</v>
      </c>
      <c r="C8" s="12">
        <v>44657</v>
      </c>
      <c r="D8" s="5">
        <f>IFERROR(VLOOKUP(C8,'Elec Wc'!$D$23:$W$1048576,20,FALSE),"NA")*(1+'Elec Calculations'!$C$18)</f>
        <v>268.29688538409488</v>
      </c>
      <c r="E8" s="5">
        <f>IFERROR(VLOOKUP(C8,'Elec Wpc'!$D$22:$V$204,19,FALSE),"NA")*(1+'Elec Calculations'!$C$18)</f>
        <v>157.72027158010931</v>
      </c>
      <c r="F8" s="43">
        <f>IFERROR(VLOOKUP(C8,'Elec Wpc'!$D$22:$W$204,20,FALSE),"NA")*MAX(0,E8-D8)</f>
        <v>0</v>
      </c>
      <c r="G8" s="43">
        <f t="shared" si="0"/>
        <v>0.85</v>
      </c>
      <c r="H8" s="43">
        <f>VLOOKUP(MONTH(C8),'Elec Calculations'!$A$39:'Elec Calculations'!$D$50,4,FALSE)</f>
        <v>0.60877999999999999</v>
      </c>
      <c r="I8" s="43">
        <f>'Elec Calculations'!$C$24</f>
        <v>1</v>
      </c>
      <c r="J8" s="43">
        <f>G8*F8*H8*I8</f>
        <v>0</v>
      </c>
      <c r="K8" s="26"/>
    </row>
    <row r="9" spans="1:11" x14ac:dyDescent="0.35">
      <c r="A9" s="26"/>
      <c r="B9" s="16" t="s">
        <v>27</v>
      </c>
      <c r="C9" s="12">
        <v>44658</v>
      </c>
      <c r="D9" s="5">
        <f>IFERROR(VLOOKUP(C9,'Elec Wc'!$D$23:$W$1048576,20,FALSE),"NA")*(1+'Elec Calculations'!$C$18)</f>
        <v>268.29688538409488</v>
      </c>
      <c r="E9" s="5">
        <f>IFERROR(VLOOKUP(C9,'Elec Wpc'!$D$22:$V$204,19,FALSE),"NA")*(1+'Elec Calculations'!$C$18)</f>
        <v>157.72027158010931</v>
      </c>
      <c r="F9" s="43">
        <f>IFERROR(VLOOKUP(C9,'Elec Wpc'!$D$22:$W$204,20,FALSE),"NA")*MAX(0,E9-D9)</f>
        <v>0</v>
      </c>
      <c r="G9" s="43">
        <f t="shared" si="0"/>
        <v>0.85</v>
      </c>
      <c r="H9" s="43">
        <f>VLOOKUP(MONTH(C9),'Elec Calculations'!$A$39:'Elec Calculations'!$D$50,4,FALSE)</f>
        <v>0.60877999999999999</v>
      </c>
      <c r="I9" s="43">
        <f>'Elec Calculations'!$C$24</f>
        <v>1</v>
      </c>
      <c r="J9" s="43">
        <f t="shared" si="1"/>
        <v>0</v>
      </c>
      <c r="K9" s="26"/>
    </row>
    <row r="10" spans="1:11" x14ac:dyDescent="0.35">
      <c r="A10" s="26"/>
      <c r="B10" s="16" t="s">
        <v>22</v>
      </c>
      <c r="C10" s="12">
        <v>44659</v>
      </c>
      <c r="D10" s="5">
        <f>IFERROR(VLOOKUP(C10,'Elec Wc'!$D$23:$W$1048576,20,FALSE),"NA")*(1+'Elec Calculations'!$C$18)</f>
        <v>268.29688538409488</v>
      </c>
      <c r="E10" s="5">
        <f>IFERROR(VLOOKUP(C10,'Elec Wpc'!$D$22:$V$204,19,FALSE),"NA")*(1+'Elec Calculations'!$C$18)</f>
        <v>157.72027158010931</v>
      </c>
      <c r="F10" s="43">
        <f>IFERROR(VLOOKUP(C10,'Elec Wpc'!$D$22:$W$204,20,FALSE),"NA")*MAX(0,E10-D10)</f>
        <v>0</v>
      </c>
      <c r="G10" s="43">
        <f t="shared" si="0"/>
        <v>0.85</v>
      </c>
      <c r="H10" s="43">
        <f>VLOOKUP(MONTH(C10),'Elec Calculations'!$A$39:'Elec Calculations'!$D$50,4,FALSE)</f>
        <v>0.60877999999999999</v>
      </c>
      <c r="I10" s="43">
        <f>'Elec Calculations'!$C$24</f>
        <v>1</v>
      </c>
      <c r="J10" s="43">
        <f t="shared" si="1"/>
        <v>0</v>
      </c>
      <c r="K10" s="26"/>
    </row>
    <row r="11" spans="1:11" x14ac:dyDescent="0.35">
      <c r="A11" s="26"/>
      <c r="B11" s="16" t="s">
        <v>24</v>
      </c>
      <c r="C11" s="12">
        <v>44662</v>
      </c>
      <c r="D11" s="5">
        <f>IFERROR(VLOOKUP(C11,'Elec Wc'!$D$23:$W$1048576,20,FALSE),"NA")*(1+'Elec Calculations'!$C$18)</f>
        <v>259.38361378191223</v>
      </c>
      <c r="E11" s="5">
        <f>IFERROR(VLOOKUP(C11,'Elec Wpc'!$D$22:$V$204,19,FALSE),"NA")*(1+'Elec Calculations'!$C$18)</f>
        <v>159.60717669420583</v>
      </c>
      <c r="F11" s="43">
        <f>IFERROR(VLOOKUP(C11,'Elec Wpc'!$D$22:$W$204,20,FALSE),"NA")*MAX(0,E11-D11)</f>
        <v>0</v>
      </c>
      <c r="G11" s="43">
        <f t="shared" si="0"/>
        <v>0.85</v>
      </c>
      <c r="H11" s="43">
        <f>VLOOKUP(MONTH(C11),'Elec Calculations'!$A$39:'Elec Calculations'!$D$50,4,FALSE)</f>
        <v>0.60877999999999999</v>
      </c>
      <c r="I11" s="43">
        <f>'Elec Calculations'!$C$24</f>
        <v>1</v>
      </c>
      <c r="J11" s="43">
        <f t="shared" si="1"/>
        <v>0</v>
      </c>
      <c r="K11" s="26"/>
    </row>
    <row r="12" spans="1:11" x14ac:dyDescent="0.35">
      <c r="A12" s="26"/>
      <c r="B12" s="16" t="s">
        <v>25</v>
      </c>
      <c r="C12" s="12">
        <v>44663</v>
      </c>
      <c r="D12" s="5">
        <f>IFERROR(VLOOKUP(C12,'Elec Wc'!$D$23:$W$1048576,20,FALSE),"NA")*(1+'Elec Calculations'!$C$18)</f>
        <v>259.38361378191223</v>
      </c>
      <c r="E12" s="5">
        <f>IFERROR(VLOOKUP(C12,'Elec Wpc'!$D$22:$V$204,19,FALSE),"NA")*(1+'Elec Calculations'!$C$18)</f>
        <v>159.60717669420583</v>
      </c>
      <c r="F12" s="43">
        <f>IFERROR(VLOOKUP(C12,'Elec Wpc'!$D$22:$W$204,20,FALSE),"NA")*MAX(0,E12-D12)</f>
        <v>0</v>
      </c>
      <c r="G12" s="43">
        <f t="shared" si="0"/>
        <v>0.85</v>
      </c>
      <c r="H12" s="43">
        <f>VLOOKUP(MONTH(C12),'Elec Calculations'!$A$39:'Elec Calculations'!$D$50,4,FALSE)</f>
        <v>0.60877999999999999</v>
      </c>
      <c r="I12" s="43">
        <f>'Elec Calculations'!$C$24</f>
        <v>1</v>
      </c>
      <c r="J12" s="43">
        <f t="shared" si="1"/>
        <v>0</v>
      </c>
      <c r="K12" s="26"/>
    </row>
    <row r="13" spans="1:11" x14ac:dyDescent="0.35">
      <c r="A13" s="26"/>
      <c r="B13" s="16" t="s">
        <v>26</v>
      </c>
      <c r="C13" s="12">
        <v>44664</v>
      </c>
      <c r="D13" s="5">
        <f>IFERROR(VLOOKUP(C13,'Elec Wc'!$D$23:$W$1048576,20,FALSE),"NA")*(1+'Elec Calculations'!$C$18)</f>
        <v>259.38361378191223</v>
      </c>
      <c r="E13" s="5">
        <f>IFERROR(VLOOKUP(C13,'Elec Wpc'!$D$22:$V$204,19,FALSE),"NA")*(1+'Elec Calculations'!$C$18)</f>
        <v>159.60717669420583</v>
      </c>
      <c r="F13" s="43">
        <f>IFERROR(VLOOKUP(C13,'Elec Wpc'!$D$22:$W$204,20,FALSE),"NA")*MAX(0,E13-D13)</f>
        <v>0</v>
      </c>
      <c r="G13" s="43">
        <f t="shared" si="0"/>
        <v>0.85</v>
      </c>
      <c r="H13" s="43">
        <f>VLOOKUP(MONTH(C13),'Elec Calculations'!$A$39:'Elec Calculations'!$D$50,4,FALSE)</f>
        <v>0.60877999999999999</v>
      </c>
      <c r="I13" s="43">
        <f>'Elec Calculations'!$C$24</f>
        <v>1</v>
      </c>
      <c r="J13" s="43">
        <f t="shared" si="1"/>
        <v>0</v>
      </c>
      <c r="K13" s="26"/>
    </row>
    <row r="14" spans="1:11" x14ac:dyDescent="0.35">
      <c r="A14" s="26"/>
      <c r="B14" s="16" t="s">
        <v>27</v>
      </c>
      <c r="C14" s="12">
        <v>44665</v>
      </c>
      <c r="D14" s="5">
        <f>IFERROR(VLOOKUP(C14,'Elec Wc'!$D$23:$W$1048576,20,FALSE),"NA")*(1+'Elec Calculations'!$C$18)</f>
        <v>259.38361378191223</v>
      </c>
      <c r="E14" s="5">
        <f>IFERROR(VLOOKUP(C14,'Elec Wpc'!$D$22:$V$204,19,FALSE),"NA")*(1+'Elec Calculations'!$C$18)</f>
        <v>159.60717669420583</v>
      </c>
      <c r="F14" s="43">
        <f>IFERROR(VLOOKUP(C14,'Elec Wpc'!$D$22:$W$204,20,FALSE),"NA")*MAX(0,E14-D14)</f>
        <v>0</v>
      </c>
      <c r="G14" s="43">
        <f t="shared" si="0"/>
        <v>0.85</v>
      </c>
      <c r="H14" s="43">
        <f>VLOOKUP(MONTH(C14),'Elec Calculations'!$A$39:'Elec Calculations'!$D$50,4,FALSE)</f>
        <v>0.60877999999999999</v>
      </c>
      <c r="I14" s="43">
        <f>'Elec Calculations'!$C$24</f>
        <v>1</v>
      </c>
      <c r="J14" s="43">
        <f t="shared" si="1"/>
        <v>0</v>
      </c>
      <c r="K14" s="26"/>
    </row>
    <row r="15" spans="1:11" x14ac:dyDescent="0.35">
      <c r="A15" s="26"/>
      <c r="B15" s="16" t="s">
        <v>25</v>
      </c>
      <c r="C15" s="12">
        <v>44670</v>
      </c>
      <c r="D15" s="5">
        <f>IFERROR(VLOOKUP(C15,'Elec Wc'!$D$23:$W$1048576,20,FALSE),"NA")*(1+'Elec Calculations'!$C$18)</f>
        <v>248.94492727863212</v>
      </c>
      <c r="E15" s="5">
        <f>IFERROR(VLOOKUP(C15,'Elec Wpc'!$D$22:$V$204,19,FALSE),"NA")*(1+'Elec Calculations'!$C$18)</f>
        <v>162.09675199262813</v>
      </c>
      <c r="F15" s="43">
        <f>IFERROR(VLOOKUP(C15,'Elec Wpc'!$D$22:$W$204,20,FALSE),"NA")*MAX(0,E15-D15)</f>
        <v>0</v>
      </c>
      <c r="G15" s="43">
        <f t="shared" si="0"/>
        <v>0.85</v>
      </c>
      <c r="H15" s="43">
        <f>VLOOKUP(MONTH(C15),'Elec Calculations'!$A$39:'Elec Calculations'!$D$50,4,FALSE)</f>
        <v>0.60877999999999999</v>
      </c>
      <c r="I15" s="43">
        <f>'Elec Calculations'!$C$24</f>
        <v>1</v>
      </c>
      <c r="J15" s="43">
        <f t="shared" si="1"/>
        <v>0</v>
      </c>
      <c r="K15" s="26"/>
    </row>
    <row r="16" spans="1:11" x14ac:dyDescent="0.35">
      <c r="A16" s="26"/>
      <c r="B16" s="16" t="s">
        <v>26</v>
      </c>
      <c r="C16" s="12">
        <v>44671</v>
      </c>
      <c r="D16" s="5">
        <f>IFERROR(VLOOKUP(C16,'Elec Wc'!$D$23:$W$1048576,20,FALSE),"NA")*(1+'Elec Calculations'!$C$18)</f>
        <v>248.94492727863212</v>
      </c>
      <c r="E16" s="5">
        <f>IFERROR(VLOOKUP(C16,'Elec Wpc'!$D$22:$V$204,19,FALSE),"NA")*(1+'Elec Calculations'!$C$18)</f>
        <v>162.09675199262813</v>
      </c>
      <c r="F16" s="43">
        <f>IFERROR(VLOOKUP(C16,'Elec Wpc'!$D$22:$W$204,20,FALSE),"NA")*MAX(0,E16-D16)</f>
        <v>0</v>
      </c>
      <c r="G16" s="43">
        <f t="shared" si="0"/>
        <v>0.85</v>
      </c>
      <c r="H16" s="43">
        <f>VLOOKUP(MONTH(C16),'Elec Calculations'!$A$39:'Elec Calculations'!$D$50,4,FALSE)</f>
        <v>0.60877999999999999</v>
      </c>
      <c r="I16" s="43">
        <f>'Elec Calculations'!$C$24</f>
        <v>1</v>
      </c>
      <c r="J16" s="43">
        <f t="shared" si="1"/>
        <v>0</v>
      </c>
      <c r="K16" s="26"/>
    </row>
    <row r="17" spans="1:11" x14ac:dyDescent="0.35">
      <c r="A17" s="26"/>
      <c r="B17" s="16" t="s">
        <v>27</v>
      </c>
      <c r="C17" s="12">
        <v>44672</v>
      </c>
      <c r="D17" s="5">
        <f>IFERROR(VLOOKUP(C17,'Elec Wc'!$D$23:$W$1048576,20,FALSE),"NA")*(1+'Elec Calculations'!$C$18)</f>
        <v>248.94492727863212</v>
      </c>
      <c r="E17" s="5">
        <f>IFERROR(VLOOKUP(C17,'Elec Wpc'!$D$22:$V$204,19,FALSE),"NA")*(1+'Elec Calculations'!$C$18)</f>
        <v>162.09675199262813</v>
      </c>
      <c r="F17" s="43">
        <f>IFERROR(VLOOKUP(C17,'Elec Wpc'!$D$22:$W$204,20,FALSE),"NA")*MAX(0,E17-D17)</f>
        <v>0</v>
      </c>
      <c r="G17" s="43">
        <f t="shared" si="0"/>
        <v>0.85</v>
      </c>
      <c r="H17" s="43">
        <f>VLOOKUP(MONTH(C17),'Elec Calculations'!$A$39:'Elec Calculations'!$D$50,4,FALSE)</f>
        <v>0.60877999999999999</v>
      </c>
      <c r="I17" s="43">
        <f>'Elec Calculations'!$C$24</f>
        <v>1</v>
      </c>
      <c r="J17" s="43">
        <f t="shared" si="1"/>
        <v>0</v>
      </c>
      <c r="K17" s="26"/>
    </row>
    <row r="18" spans="1:11" x14ac:dyDescent="0.35">
      <c r="A18" s="26"/>
      <c r="B18" s="16" t="s">
        <v>22</v>
      </c>
      <c r="C18" s="12">
        <v>44673</v>
      </c>
      <c r="D18" s="5">
        <f>IFERROR(VLOOKUP(C18,'Elec Wc'!$D$23:$W$1048576,20,FALSE),"NA")*(1+'Elec Calculations'!$C$18)</f>
        <v>248.94492727863212</v>
      </c>
      <c r="E18" s="5">
        <f>IFERROR(VLOOKUP(C18,'Elec Wpc'!$D$22:$V$204,19,FALSE),"NA")*(1+'Elec Calculations'!$C$18)</f>
        <v>162.09675199262813</v>
      </c>
      <c r="F18" s="43">
        <f>IFERROR(VLOOKUP(C18,'Elec Wpc'!$D$22:$W$204,20,FALSE),"NA")*MAX(0,E18-D18)</f>
        <v>0</v>
      </c>
      <c r="G18" s="43">
        <f t="shared" si="0"/>
        <v>0.85</v>
      </c>
      <c r="H18" s="43">
        <f>VLOOKUP(MONTH(C18),'Elec Calculations'!$A$39:'Elec Calculations'!$D$50,4,FALSE)</f>
        <v>0.60877999999999999</v>
      </c>
      <c r="I18" s="43">
        <f>'Elec Calculations'!$C$24</f>
        <v>1</v>
      </c>
      <c r="J18" s="43">
        <f t="shared" si="1"/>
        <v>0</v>
      </c>
      <c r="K18" s="26"/>
    </row>
    <row r="19" spans="1:11" x14ac:dyDescent="0.35">
      <c r="A19" s="26"/>
      <c r="B19" s="16" t="s">
        <v>24</v>
      </c>
      <c r="C19" s="12">
        <v>44676</v>
      </c>
      <c r="D19" s="5">
        <f>IFERROR(VLOOKUP(C19,'Elec Wc'!$D$23:$W$1048576,20,FALSE),"NA")*(1+'Elec Calculations'!$C$18)</f>
        <v>242.79948587782252</v>
      </c>
      <c r="E19" s="5">
        <f>IFERROR(VLOOKUP(C19,'Elec Wpc'!$D$22:$V$204,19,FALSE),"NA")*(1+'Elec Calculations'!$C$18)</f>
        <v>165.2223351433733</v>
      </c>
      <c r="F19" s="43">
        <f>IFERROR(VLOOKUP(C19,'Elec Wpc'!$D$22:$W$204,20,FALSE),"NA")*MAX(0,E19-D19)</f>
        <v>0</v>
      </c>
      <c r="G19" s="43">
        <f t="shared" si="0"/>
        <v>0.85</v>
      </c>
      <c r="H19" s="43">
        <f>VLOOKUP(MONTH(C19),'Elec Calculations'!$A$39:'Elec Calculations'!$D$50,4,FALSE)</f>
        <v>0.60877999999999999</v>
      </c>
      <c r="I19" s="43">
        <f>'Elec Calculations'!$C$24</f>
        <v>1</v>
      </c>
      <c r="J19" s="43">
        <f t="shared" si="1"/>
        <v>0</v>
      </c>
      <c r="K19" s="26"/>
    </row>
    <row r="20" spans="1:11" x14ac:dyDescent="0.35">
      <c r="A20" s="26"/>
      <c r="B20" s="16" t="s">
        <v>25</v>
      </c>
      <c r="C20" s="12">
        <v>44677</v>
      </c>
      <c r="D20" s="5">
        <f>IFERROR(VLOOKUP(C20,'Elec Wc'!$D$23:$W$1048576,20,FALSE),"NA")*(1+'Elec Calculations'!$C$18)</f>
        <v>242.79948587782252</v>
      </c>
      <c r="E20" s="5">
        <f>IFERROR(VLOOKUP(C20,'Elec Wpc'!$D$22:$V$204,19,FALSE),"NA")*(1+'Elec Calculations'!$C$18)</f>
        <v>165.2223351433733</v>
      </c>
      <c r="F20" s="43">
        <f>IFERROR(VLOOKUP(C20,'Elec Wpc'!$D$22:$W$204,20,FALSE),"NA")*MAX(0,E20-D20)</f>
        <v>0</v>
      </c>
      <c r="G20" s="43">
        <f t="shared" si="0"/>
        <v>0.85</v>
      </c>
      <c r="H20" s="43">
        <f>VLOOKUP(MONTH(C20),'Elec Calculations'!$A$39:'Elec Calculations'!$D$50,4,FALSE)</f>
        <v>0.60877999999999999</v>
      </c>
      <c r="I20" s="43">
        <f>'Elec Calculations'!$C$24</f>
        <v>1</v>
      </c>
      <c r="J20" s="43">
        <f t="shared" si="1"/>
        <v>0</v>
      </c>
      <c r="K20" s="26"/>
    </row>
    <row r="21" spans="1:11" x14ac:dyDescent="0.35">
      <c r="A21" s="26"/>
      <c r="B21" s="16" t="s">
        <v>26</v>
      </c>
      <c r="C21" s="12">
        <v>44678</v>
      </c>
      <c r="D21" s="5">
        <f>IFERROR(VLOOKUP(C21,'Elec Wc'!$D$23:$W$1048576,20,FALSE),"NA")*(1+'Elec Calculations'!$C$18)</f>
        <v>242.79948587782252</v>
      </c>
      <c r="E21" s="5">
        <f>IFERROR(VLOOKUP(C21,'Elec Wpc'!$D$22:$V$204,19,FALSE),"NA")*(1+'Elec Calculations'!$C$18)</f>
        <v>165.2223351433733</v>
      </c>
      <c r="F21" s="43">
        <f>IFERROR(VLOOKUP(C21,'Elec Wpc'!$D$22:$W$204,20,FALSE),"NA")*MAX(0,E21-D21)</f>
        <v>0</v>
      </c>
      <c r="G21" s="43">
        <f t="shared" si="0"/>
        <v>0.85</v>
      </c>
      <c r="H21" s="43">
        <f>VLOOKUP(MONTH(C21),'Elec Calculations'!$A$39:'Elec Calculations'!$D$50,4,FALSE)</f>
        <v>0.60877999999999999</v>
      </c>
      <c r="I21" s="43">
        <f>'Elec Calculations'!$C$24</f>
        <v>1</v>
      </c>
      <c r="J21" s="43">
        <f t="shared" si="1"/>
        <v>0</v>
      </c>
      <c r="K21" s="26"/>
    </row>
    <row r="22" spans="1:11" x14ac:dyDescent="0.35">
      <c r="A22" s="26"/>
      <c r="B22" s="16" t="s">
        <v>27</v>
      </c>
      <c r="C22" s="12">
        <v>44679</v>
      </c>
      <c r="D22" s="5">
        <f>IFERROR(VLOOKUP(C22,'Elec Wc'!$D$23:$W$1048576,20,FALSE),"NA")*(1+'Elec Calculations'!$C$18)</f>
        <v>242.79948587782252</v>
      </c>
      <c r="E22" s="5">
        <f>IFERROR(VLOOKUP(C22,'Elec Wpc'!$D$22:$V$204,19,FALSE),"NA")*(1+'Elec Calculations'!$C$18)</f>
        <v>165.2223351433733</v>
      </c>
      <c r="F22" s="43">
        <f>IFERROR(VLOOKUP(C22,'Elec Wpc'!$D$22:$W$204,20,FALSE),"NA")*MAX(0,E22-D22)</f>
        <v>0</v>
      </c>
      <c r="G22" s="43">
        <f t="shared" si="0"/>
        <v>0.85</v>
      </c>
      <c r="H22" s="43">
        <f>VLOOKUP(MONTH(C22),'Elec Calculations'!$A$39:'Elec Calculations'!$D$50,4,FALSE)</f>
        <v>0.60877999999999999</v>
      </c>
      <c r="I22" s="43">
        <f>'Elec Calculations'!$C$24</f>
        <v>1</v>
      </c>
      <c r="J22" s="43">
        <f t="shared" si="1"/>
        <v>0</v>
      </c>
      <c r="K22" s="26"/>
    </row>
    <row r="23" spans="1:11" x14ac:dyDescent="0.35">
      <c r="A23" s="26"/>
      <c r="B23" s="16" t="s">
        <v>22</v>
      </c>
      <c r="C23" s="12">
        <v>44680</v>
      </c>
      <c r="D23" s="5">
        <f>IFERROR(VLOOKUP(C23,'Elec Wc'!$D$23:$W$1048576,20,FALSE),"NA")*(1+'Elec Calculations'!$C$18)</f>
        <v>242.79948587782252</v>
      </c>
      <c r="E23" s="5">
        <f>IFERROR(VLOOKUP(C23,'Elec Wpc'!$D$22:$V$204,19,FALSE),"NA")*(1+'Elec Calculations'!$C$18)</f>
        <v>165.2223351433733</v>
      </c>
      <c r="F23" s="43">
        <f>IFERROR(VLOOKUP(C23,'Elec Wpc'!$D$22:$W$204,20,FALSE),"NA")*MAX(0,E23-D23)</f>
        <v>0</v>
      </c>
      <c r="G23" s="43">
        <f t="shared" si="0"/>
        <v>0.85</v>
      </c>
      <c r="H23" s="43">
        <f>VLOOKUP(MONTH(C23),'Elec Calculations'!$A$39:'Elec Calculations'!$D$50,4,FALSE)</f>
        <v>0.60877999999999999</v>
      </c>
      <c r="I23" s="43">
        <f>'Elec Calculations'!$C$24</f>
        <v>1</v>
      </c>
      <c r="J23" s="43">
        <f>G23*F23*H23*I23</f>
        <v>0</v>
      </c>
      <c r="K23" s="26"/>
    </row>
    <row r="24" spans="1:11" x14ac:dyDescent="0.35">
      <c r="A24" s="26"/>
      <c r="B24" s="16" t="s">
        <v>25</v>
      </c>
      <c r="C24" s="12">
        <v>44684</v>
      </c>
      <c r="D24" s="5">
        <f>IFERROR(VLOOKUP(C24,'Elec Wc'!$D$23:$W$1048576,20,FALSE),"NA")*(1+'Elec Calculations'!$C$18)</f>
        <v>227.03131235320589</v>
      </c>
      <c r="E24" s="5">
        <f>IFERROR(VLOOKUP(C24,'Elec Wpc'!$D$22:$V$204,19,FALSE),"NA")*(1+'Elec Calculations'!$C$18)</f>
        <v>167.81330944655733</v>
      </c>
      <c r="F24" s="25">
        <f>IFERROR(VLOOKUP(C24,'Elec Wpc'!$D$22:$W$204,20,FALSE),"NA")*MAX(0,E24-D24)</f>
        <v>0</v>
      </c>
      <c r="G24" s="43">
        <f t="shared" si="0"/>
        <v>0.85</v>
      </c>
      <c r="H24" s="43">
        <f>VLOOKUP(MONTH(C24),'Elec Calculations'!$A$39:'Elec Calculations'!$D$50,4,FALSE)</f>
        <v>0.63551999999999997</v>
      </c>
      <c r="I24" s="43">
        <f>'Elec Calculations'!$C$24</f>
        <v>1</v>
      </c>
      <c r="J24" s="43">
        <f t="shared" si="1"/>
        <v>0</v>
      </c>
      <c r="K24" s="26"/>
    </row>
    <row r="25" spans="1:11" x14ac:dyDescent="0.35">
      <c r="A25" s="26"/>
      <c r="B25" s="16" t="s">
        <v>26</v>
      </c>
      <c r="C25" s="12">
        <v>44685</v>
      </c>
      <c r="D25" s="5">
        <f>IFERROR(VLOOKUP(C25,'Elec Wc'!$D$23:$W$1048576,20,FALSE),"NA")*(1+'Elec Calculations'!$C$18)</f>
        <v>227.03131235320589</v>
      </c>
      <c r="E25" s="5">
        <f>IFERROR(VLOOKUP(C25,'Elec Wpc'!$D$22:$V$204,19,FALSE),"NA")*(1+'Elec Calculations'!$C$18)</f>
        <v>167.81330944655733</v>
      </c>
      <c r="F25" s="25">
        <f>IFERROR(VLOOKUP(C25,'Elec Wpc'!$D$22:$W$204,20,FALSE),"NA")*MAX(0,E25-D25)</f>
        <v>0</v>
      </c>
      <c r="G25" s="43">
        <f t="shared" si="0"/>
        <v>0.85</v>
      </c>
      <c r="H25" s="43">
        <f>VLOOKUP(MONTH(C25),'Elec Calculations'!$A$39:'Elec Calculations'!$D$50,4,FALSE)</f>
        <v>0.63551999999999997</v>
      </c>
      <c r="I25" s="43">
        <f>'Elec Calculations'!$C$24</f>
        <v>1</v>
      </c>
      <c r="J25" s="43">
        <f t="shared" si="1"/>
        <v>0</v>
      </c>
      <c r="K25" s="26"/>
    </row>
    <row r="26" spans="1:11" x14ac:dyDescent="0.35">
      <c r="A26" s="26"/>
      <c r="B26" s="16" t="s">
        <v>27</v>
      </c>
      <c r="C26" s="12">
        <v>44686</v>
      </c>
      <c r="D26" s="5">
        <f>IFERROR(VLOOKUP(C26,'Elec Wc'!$D$23:$W$1048576,20,FALSE),"NA")*(1+'Elec Calculations'!$C$18)</f>
        <v>227.03131235320589</v>
      </c>
      <c r="E26" s="5">
        <f>IFERROR(VLOOKUP(C26,'Elec Wpc'!$D$22:$V$204,19,FALSE),"NA")*(1+'Elec Calculations'!$C$18)</f>
        <v>167.81330944655733</v>
      </c>
      <c r="F26" s="25">
        <f>IFERROR(VLOOKUP(C26,'Elec Wpc'!$D$22:$W$204,20,FALSE),"NA")*MAX(0,E26-D26)</f>
        <v>0</v>
      </c>
      <c r="G26" s="43">
        <f t="shared" si="0"/>
        <v>0.85</v>
      </c>
      <c r="H26" s="43">
        <f>VLOOKUP(MONTH(C26),'Elec Calculations'!$A$39:'Elec Calculations'!$D$50,4,FALSE)</f>
        <v>0.63551999999999997</v>
      </c>
      <c r="I26" s="43">
        <f>'Elec Calculations'!$C$24</f>
        <v>1</v>
      </c>
      <c r="J26" s="43">
        <f t="shared" si="1"/>
        <v>0</v>
      </c>
      <c r="K26" s="26"/>
    </row>
    <row r="27" spans="1:11" x14ac:dyDescent="0.35">
      <c r="A27" s="26"/>
      <c r="B27" s="16" t="s">
        <v>22</v>
      </c>
      <c r="C27" s="12">
        <v>44687</v>
      </c>
      <c r="D27" s="5">
        <f>IFERROR(VLOOKUP(C27,'Elec Wc'!$D$23:$W$1048576,20,FALSE),"NA")*(1+'Elec Calculations'!$C$18)</f>
        <v>227.03131235320589</v>
      </c>
      <c r="E27" s="5">
        <f>IFERROR(VLOOKUP(C27,'Elec Wpc'!$D$22:$V$204,19,FALSE),"NA")*(1+'Elec Calculations'!$C$18)</f>
        <v>167.81330944655733</v>
      </c>
      <c r="F27" s="25">
        <f>IFERROR(VLOOKUP(C27,'Elec Wpc'!$D$22:$W$204,20,FALSE),"NA")*MAX(0,E27-D27)</f>
        <v>0</v>
      </c>
      <c r="G27" s="43">
        <f t="shared" si="0"/>
        <v>0.85</v>
      </c>
      <c r="H27" s="43">
        <f>VLOOKUP(MONTH(C27),'Elec Calculations'!$A$39:'Elec Calculations'!$D$50,4,FALSE)</f>
        <v>0.63551999999999997</v>
      </c>
      <c r="I27" s="43">
        <f>'Elec Calculations'!$C$24</f>
        <v>1</v>
      </c>
      <c r="J27" s="43">
        <f t="shared" si="1"/>
        <v>0</v>
      </c>
      <c r="K27" s="26"/>
    </row>
    <row r="28" spans="1:11" x14ac:dyDescent="0.35">
      <c r="A28" s="26"/>
      <c r="B28" s="16" t="s">
        <v>24</v>
      </c>
      <c r="C28" s="12">
        <v>44690</v>
      </c>
      <c r="D28" s="5">
        <f>IFERROR(VLOOKUP(C28,'Elec Wc'!$D$23:$W$1048576,20,FALSE),"NA")*(1+'Elec Calculations'!$C$18)</f>
        <v>208.12957366313032</v>
      </c>
      <c r="E28" s="5">
        <f>IFERROR(VLOOKUP(C28,'Elec Wpc'!$D$22:$V$204,19,FALSE),"NA")*(1+'Elec Calculations'!$C$18)</f>
        <v>170.86058528163895</v>
      </c>
      <c r="F28" s="25">
        <f>IFERROR(VLOOKUP(C28,'Elec Wpc'!$D$22:$W$204,20,FALSE),"NA")*MAX(0,E28-D28)</f>
        <v>0</v>
      </c>
      <c r="G28" s="43">
        <f t="shared" si="0"/>
        <v>0.85</v>
      </c>
      <c r="H28" s="43">
        <f>VLOOKUP(MONTH(C28),'Elec Calculations'!$A$39:'Elec Calculations'!$D$50,4,FALSE)</f>
        <v>0.63551999999999997</v>
      </c>
      <c r="I28" s="43">
        <f>'Elec Calculations'!$C$24</f>
        <v>1</v>
      </c>
      <c r="J28" s="43">
        <f t="shared" si="1"/>
        <v>0</v>
      </c>
      <c r="K28" s="26"/>
    </row>
    <row r="29" spans="1:11" x14ac:dyDescent="0.35">
      <c r="A29" s="26"/>
      <c r="B29" s="16" t="s">
        <v>25</v>
      </c>
      <c r="C29" s="12">
        <v>44691</v>
      </c>
      <c r="D29" s="5">
        <f>IFERROR(VLOOKUP(C29,'Elec Wc'!$D$23:$W$1048576,20,FALSE),"NA")*(1+'Elec Calculations'!$C$18)</f>
        <v>208.12957366313032</v>
      </c>
      <c r="E29" s="5">
        <f>IFERROR(VLOOKUP(C29,'Elec Wpc'!$D$22:$V$204,19,FALSE),"NA")*(1+'Elec Calculations'!$C$18)</f>
        <v>170.86058528163895</v>
      </c>
      <c r="F29" s="25">
        <f>IFERROR(VLOOKUP(C29,'Elec Wpc'!$D$22:$W$204,20,FALSE),"NA")*MAX(0,E29-D29)</f>
        <v>0</v>
      </c>
      <c r="G29" s="43">
        <f t="shared" si="0"/>
        <v>0.85</v>
      </c>
      <c r="H29" s="43">
        <f>VLOOKUP(MONTH(C29),'Elec Calculations'!$A$39:'Elec Calculations'!$D$50,4,FALSE)</f>
        <v>0.63551999999999997</v>
      </c>
      <c r="I29" s="43">
        <f>'Elec Calculations'!$C$24</f>
        <v>1</v>
      </c>
      <c r="J29" s="43">
        <f t="shared" si="1"/>
        <v>0</v>
      </c>
      <c r="K29" s="26"/>
    </row>
    <row r="30" spans="1:11" x14ac:dyDescent="0.35">
      <c r="A30" s="26"/>
      <c r="B30" s="16" t="s">
        <v>26</v>
      </c>
      <c r="C30" s="12">
        <v>44692</v>
      </c>
      <c r="D30" s="5">
        <f>IFERROR(VLOOKUP(C30,'Elec Wc'!$D$23:$W$1048576,20,FALSE),"NA")*(1+'Elec Calculations'!$C$18)</f>
        <v>208.12957366313032</v>
      </c>
      <c r="E30" s="5">
        <f>IFERROR(VLOOKUP(C30,'Elec Wpc'!$D$22:$V$204,19,FALSE),"NA")*(1+'Elec Calculations'!$C$18)</f>
        <v>170.86058528163895</v>
      </c>
      <c r="F30" s="25">
        <f>IFERROR(VLOOKUP(C30,'Elec Wpc'!$D$22:$W$204,20,FALSE),"NA")*MAX(0,E30-D30)</f>
        <v>0</v>
      </c>
      <c r="G30" s="43">
        <f t="shared" si="0"/>
        <v>0.85</v>
      </c>
      <c r="H30" s="43">
        <f>VLOOKUP(MONTH(C30),'Elec Calculations'!$A$39:'Elec Calculations'!$D$50,4,FALSE)</f>
        <v>0.63551999999999997</v>
      </c>
      <c r="I30" s="43">
        <f>'Elec Calculations'!$C$24</f>
        <v>1</v>
      </c>
      <c r="J30" s="43">
        <f t="shared" si="1"/>
        <v>0</v>
      </c>
      <c r="K30" s="26"/>
    </row>
    <row r="31" spans="1:11" x14ac:dyDescent="0.35">
      <c r="A31" s="26"/>
      <c r="B31" s="16" t="s">
        <v>27</v>
      </c>
      <c r="C31" s="12">
        <v>44693</v>
      </c>
      <c r="D31" s="5">
        <f>IFERROR(VLOOKUP(C31,'Elec Wc'!$D$23:$W$1048576,20,FALSE),"NA")*(1+'Elec Calculations'!$C$18)</f>
        <v>208.12957366313032</v>
      </c>
      <c r="E31" s="5">
        <f>IFERROR(VLOOKUP(C31,'Elec Wpc'!$D$22:$V$204,19,FALSE),"NA")*(1+'Elec Calculations'!$C$18)</f>
        <v>170.86058528163895</v>
      </c>
      <c r="F31" s="25">
        <f>IFERROR(VLOOKUP(C31,'Elec Wpc'!$D$22:$W$204,20,FALSE),"NA")*MAX(0,E31-D31)</f>
        <v>0</v>
      </c>
      <c r="G31" s="43">
        <f t="shared" si="0"/>
        <v>0.85</v>
      </c>
      <c r="H31" s="43">
        <f>VLOOKUP(MONTH(C31),'Elec Calculations'!$A$39:'Elec Calculations'!$D$50,4,FALSE)</f>
        <v>0.63551999999999997</v>
      </c>
      <c r="I31" s="43">
        <f>'Elec Calculations'!$C$24</f>
        <v>1</v>
      </c>
      <c r="J31" s="43">
        <f t="shared" si="1"/>
        <v>0</v>
      </c>
      <c r="K31" s="26"/>
    </row>
    <row r="32" spans="1:11" x14ac:dyDescent="0.35">
      <c r="A32" s="26"/>
      <c r="B32" s="16" t="s">
        <v>22</v>
      </c>
      <c r="C32" s="12">
        <v>44694</v>
      </c>
      <c r="D32" s="5">
        <f>IFERROR(VLOOKUP(C32,'Elec Wc'!$D$23:$W$1048576,20,FALSE),"NA")*(1+'Elec Calculations'!$C$18)</f>
        <v>208.12957366313032</v>
      </c>
      <c r="E32" s="5">
        <f>IFERROR(VLOOKUP(C32,'Elec Wpc'!$D$22:$V$204,19,FALSE),"NA")*(1+'Elec Calculations'!$C$18)</f>
        <v>170.86058528163895</v>
      </c>
      <c r="F32" s="25">
        <f>IFERROR(VLOOKUP(C32,'Elec Wpc'!$D$22:$W$204,20,FALSE),"NA")*MAX(0,E32-D32)</f>
        <v>0</v>
      </c>
      <c r="G32" s="43">
        <f t="shared" si="0"/>
        <v>0.85</v>
      </c>
      <c r="H32" s="43">
        <f>VLOOKUP(MONTH(C32),'Elec Calculations'!$A$39:'Elec Calculations'!$D$50,4,FALSE)</f>
        <v>0.63551999999999997</v>
      </c>
      <c r="I32" s="43">
        <f>'Elec Calculations'!$C$24</f>
        <v>1</v>
      </c>
      <c r="J32" s="43">
        <f t="shared" si="1"/>
        <v>0</v>
      </c>
      <c r="K32" s="26"/>
    </row>
    <row r="33" spans="1:11" x14ac:dyDescent="0.35">
      <c r="A33" s="26"/>
      <c r="B33" s="16" t="s">
        <v>24</v>
      </c>
      <c r="C33" s="12">
        <v>44697</v>
      </c>
      <c r="D33" s="5">
        <f>IFERROR(VLOOKUP(C33,'Elec Wc'!$D$23:$W$1048576,20,FALSE),"NA")*(1+'Elec Calculations'!$C$18)</f>
        <v>190.83553242775625</v>
      </c>
      <c r="E33" s="5">
        <f>IFERROR(VLOOKUP(C33,'Elec Wpc'!$D$22:$V$204,19,FALSE),"NA")*(1+'Elec Calculations'!$C$18)</f>
        <v>173.55461195297636</v>
      </c>
      <c r="F33" s="25">
        <f>IFERROR(VLOOKUP(C33,'Elec Wpc'!$D$22:$W$204,20,FALSE),"NA")*MAX(0,E33-D33)</f>
        <v>0</v>
      </c>
      <c r="G33" s="43">
        <f t="shared" si="0"/>
        <v>0.85</v>
      </c>
      <c r="H33" s="43">
        <f>VLOOKUP(MONTH(C33),'Elec Calculations'!$A$39:'Elec Calculations'!$D$50,4,FALSE)</f>
        <v>0.63551999999999997</v>
      </c>
      <c r="I33" s="43">
        <f>'Elec Calculations'!$C$24</f>
        <v>1</v>
      </c>
      <c r="J33" s="43">
        <f t="shared" si="1"/>
        <v>0</v>
      </c>
      <c r="K33" s="26"/>
    </row>
    <row r="34" spans="1:11" x14ac:dyDescent="0.35">
      <c r="A34" s="26"/>
      <c r="B34" s="16" t="s">
        <v>25</v>
      </c>
      <c r="C34" s="12">
        <v>44698</v>
      </c>
      <c r="D34" s="5">
        <f>IFERROR(VLOOKUP(C34,'Elec Wc'!$D$23:$W$1048576,20,FALSE),"NA")*(1+'Elec Calculations'!$C$18)</f>
        <v>190.83553242775625</v>
      </c>
      <c r="E34" s="5">
        <f>IFERROR(VLOOKUP(C34,'Elec Wpc'!$D$22:$V$204,19,FALSE),"NA")*(1+'Elec Calculations'!$C$18)</f>
        <v>173.55461195297636</v>
      </c>
      <c r="F34" s="25">
        <f>IFERROR(VLOOKUP(C34,'Elec Wpc'!$D$22:$W$204,20,FALSE),"NA")*MAX(0,E34-D34)</f>
        <v>0</v>
      </c>
      <c r="G34" s="43">
        <f t="shared" si="0"/>
        <v>0.85</v>
      </c>
      <c r="H34" s="43">
        <f>VLOOKUP(MONTH(C34),'Elec Calculations'!$A$39:'Elec Calculations'!$D$50,4,FALSE)</f>
        <v>0.63551999999999997</v>
      </c>
      <c r="I34" s="43">
        <f>'Elec Calculations'!$C$24</f>
        <v>1</v>
      </c>
      <c r="J34" s="43">
        <f t="shared" si="1"/>
        <v>0</v>
      </c>
      <c r="K34" s="26"/>
    </row>
    <row r="35" spans="1:11" x14ac:dyDescent="0.35">
      <c r="A35" s="26"/>
      <c r="B35" s="16" t="s">
        <v>26</v>
      </c>
      <c r="C35" s="12">
        <v>44699</v>
      </c>
      <c r="D35" s="5">
        <f>IFERROR(VLOOKUP(C35,'Elec Wc'!$D$23:$W$1048576,20,FALSE),"NA")*(1+'Elec Calculations'!$C$18)</f>
        <v>190.83553242775625</v>
      </c>
      <c r="E35" s="5">
        <f>IFERROR(VLOOKUP(C35,'Elec Wpc'!$D$22:$V$204,19,FALSE),"NA")*(1+'Elec Calculations'!$C$18)</f>
        <v>173.55461195297636</v>
      </c>
      <c r="F35" s="25">
        <f>IFERROR(VLOOKUP(C35,'Elec Wpc'!$D$22:$W$204,20,FALSE),"NA")*MAX(0,E35-D35)</f>
        <v>0</v>
      </c>
      <c r="G35" s="43">
        <f t="shared" si="0"/>
        <v>0.85</v>
      </c>
      <c r="H35" s="43">
        <f>VLOOKUP(MONTH(C35),'Elec Calculations'!$A$39:'Elec Calculations'!$D$50,4,FALSE)</f>
        <v>0.63551999999999997</v>
      </c>
      <c r="I35" s="43">
        <f>'Elec Calculations'!$C$24</f>
        <v>1</v>
      </c>
      <c r="J35" s="43">
        <f t="shared" si="1"/>
        <v>0</v>
      </c>
      <c r="K35" s="26"/>
    </row>
    <row r="36" spans="1:11" x14ac:dyDescent="0.35">
      <c r="A36" s="26"/>
      <c r="B36" s="16" t="s">
        <v>27</v>
      </c>
      <c r="C36" s="12">
        <v>44700</v>
      </c>
      <c r="D36" s="5">
        <f>IFERROR(VLOOKUP(C36,'Elec Wc'!$D$23:$W$1048576,20,FALSE),"NA")*(1+'Elec Calculations'!$C$18)</f>
        <v>190.83553242775625</v>
      </c>
      <c r="E36" s="5">
        <f>IFERROR(VLOOKUP(C36,'Elec Wpc'!$D$22:$V$204,19,FALSE),"NA")*(1+'Elec Calculations'!$C$18)</f>
        <v>173.55461195297636</v>
      </c>
      <c r="F36" s="25">
        <f>IFERROR(VLOOKUP(C36,'Elec Wpc'!$D$22:$W$204,20,FALSE),"NA")*MAX(0,E36-D36)</f>
        <v>0</v>
      </c>
      <c r="G36" s="43">
        <f t="shared" si="0"/>
        <v>0.85</v>
      </c>
      <c r="H36" s="43">
        <f>VLOOKUP(MONTH(C36),'Elec Calculations'!$A$39:'Elec Calculations'!$D$50,4,FALSE)</f>
        <v>0.63551999999999997</v>
      </c>
      <c r="I36" s="43">
        <f>'Elec Calculations'!$C$24</f>
        <v>1</v>
      </c>
      <c r="J36" s="43">
        <f t="shared" si="1"/>
        <v>0</v>
      </c>
      <c r="K36" s="26"/>
    </row>
    <row r="37" spans="1:11" x14ac:dyDescent="0.35">
      <c r="A37" s="26"/>
      <c r="B37" s="16" t="s">
        <v>22</v>
      </c>
      <c r="C37" s="12">
        <v>44701</v>
      </c>
      <c r="D37" s="5">
        <f>IFERROR(VLOOKUP(C37,'Elec Wc'!$D$23:$W$1048576,20,FALSE),"NA")*(1+'Elec Calculations'!$C$18)</f>
        <v>190.83553242775625</v>
      </c>
      <c r="E37" s="5">
        <f>IFERROR(VLOOKUP(C37,'Elec Wpc'!$D$22:$V$204,19,FALSE),"NA")*(1+'Elec Calculations'!$C$18)</f>
        <v>173.55461195297636</v>
      </c>
      <c r="F37" s="25">
        <f>IFERROR(VLOOKUP(C37,'Elec Wpc'!$D$22:$W$204,20,FALSE),"NA")*MAX(0,E37-D37)</f>
        <v>0</v>
      </c>
      <c r="G37" s="43">
        <f t="shared" si="0"/>
        <v>0.85</v>
      </c>
      <c r="H37" s="43">
        <f>VLOOKUP(MONTH(C37),'Elec Calculations'!$A$39:'Elec Calculations'!$D$50,4,FALSE)</f>
        <v>0.63551999999999997</v>
      </c>
      <c r="I37" s="43">
        <f>'Elec Calculations'!$C$24</f>
        <v>1</v>
      </c>
      <c r="J37" s="43">
        <f t="shared" si="1"/>
        <v>0</v>
      </c>
      <c r="K37" s="26"/>
    </row>
    <row r="38" spans="1:11" x14ac:dyDescent="0.35">
      <c r="A38" s="26"/>
      <c r="B38" s="16" t="s">
        <v>24</v>
      </c>
      <c r="C38" s="12">
        <v>44704</v>
      </c>
      <c r="D38" s="5">
        <f>IFERROR(VLOOKUP(C38,'Elec Wc'!$D$23:$W$1048576,20,FALSE),"NA")*(1+'Elec Calculations'!$C$18)</f>
        <v>173.26754371295712</v>
      </c>
      <c r="E38" s="5">
        <f>IFERROR(VLOOKUP(C38,'Elec Wpc'!$D$22:$V$204,19,FALSE),"NA")*(1+'Elec Calculations'!$C$18)</f>
        <v>176.5512226955714</v>
      </c>
      <c r="F38" s="25">
        <f>IFERROR(VLOOKUP(C38,'Elec Wpc'!$D$22:$W$204,20,FALSE),"NA")*MAX(0,E38-D38)</f>
        <v>2.8426890366020285</v>
      </c>
      <c r="G38" s="43">
        <f t="shared" si="0"/>
        <v>0.85</v>
      </c>
      <c r="H38" s="43">
        <f>VLOOKUP(MONTH(C38),'Elec Calculations'!$A$39:'Elec Calculations'!$D$50,4,FALSE)</f>
        <v>0.63551999999999997</v>
      </c>
      <c r="I38" s="43">
        <f>'Elec Calculations'!$C$24</f>
        <v>1</v>
      </c>
      <c r="J38" s="43">
        <f t="shared" si="1"/>
        <v>1.5355978760601228</v>
      </c>
      <c r="K38" s="26"/>
    </row>
    <row r="39" spans="1:11" x14ac:dyDescent="0.35">
      <c r="A39" s="26"/>
      <c r="B39" s="16" t="s">
        <v>25</v>
      </c>
      <c r="C39" s="12">
        <v>44705</v>
      </c>
      <c r="D39" s="5">
        <f>IFERROR(VLOOKUP(C39,'Elec Wc'!$D$23:$W$1048576,20,FALSE),"NA")*(1+'Elec Calculations'!$C$18)</f>
        <v>173.26754371295712</v>
      </c>
      <c r="E39" s="5">
        <f>IFERROR(VLOOKUP(C39,'Elec Wpc'!$D$22:$V$204,19,FALSE),"NA")*(1+'Elec Calculations'!$C$18)</f>
        <v>176.5512226955714</v>
      </c>
      <c r="F39" s="25">
        <f>IFERROR(VLOOKUP(C39,'Elec Wpc'!$D$22:$W$204,20,FALSE),"NA")*MAX(0,E39-D39)</f>
        <v>2.8426890366020285</v>
      </c>
      <c r="G39" s="43">
        <f t="shared" si="0"/>
        <v>0.85</v>
      </c>
      <c r="H39" s="43">
        <f>VLOOKUP(MONTH(C39),'Elec Calculations'!$A$39:'Elec Calculations'!$D$50,4,FALSE)</f>
        <v>0.63551999999999997</v>
      </c>
      <c r="I39" s="43">
        <f>'Elec Calculations'!$C$24</f>
        <v>1</v>
      </c>
      <c r="J39" s="43">
        <f t="shared" si="1"/>
        <v>1.5355978760601228</v>
      </c>
      <c r="K39" s="26"/>
    </row>
    <row r="40" spans="1:11" x14ac:dyDescent="0.35">
      <c r="A40" s="26"/>
      <c r="B40" s="16" t="s">
        <v>26</v>
      </c>
      <c r="C40" s="12">
        <v>44706</v>
      </c>
      <c r="D40" s="5">
        <f>IFERROR(VLOOKUP(C40,'Elec Wc'!$D$23:$W$1048576,20,FALSE),"NA")*(1+'Elec Calculations'!$C$18)</f>
        <v>173.26754371295712</v>
      </c>
      <c r="E40" s="5">
        <f>IFERROR(VLOOKUP(C40,'Elec Wpc'!$D$22:$V$204,19,FALSE),"NA")*(1+'Elec Calculations'!$C$18)</f>
        <v>176.5512226955714</v>
      </c>
      <c r="F40" s="25">
        <f>IFERROR(VLOOKUP(C40,'Elec Wpc'!$D$22:$W$204,20,FALSE),"NA")*MAX(0,E40-D40)</f>
        <v>2.8426890366020285</v>
      </c>
      <c r="G40" s="43">
        <f t="shared" si="0"/>
        <v>0.85</v>
      </c>
      <c r="H40" s="43">
        <f>VLOOKUP(MONTH(C40),'Elec Calculations'!$A$39:'Elec Calculations'!$D$50,4,FALSE)</f>
        <v>0.63551999999999997</v>
      </c>
      <c r="I40" s="43">
        <f>'Elec Calculations'!$C$24</f>
        <v>1</v>
      </c>
      <c r="J40" s="43">
        <f t="shared" si="1"/>
        <v>1.5355978760601228</v>
      </c>
      <c r="K40" s="26"/>
    </row>
    <row r="41" spans="1:11" x14ac:dyDescent="0.35">
      <c r="A41" s="26"/>
      <c r="B41" s="16" t="s">
        <v>27</v>
      </c>
      <c r="C41" s="12">
        <v>44707</v>
      </c>
      <c r="D41" s="5">
        <f>IFERROR(VLOOKUP(C41,'Elec Wc'!$D$23:$W$1048576,20,FALSE),"NA")*(1+'Elec Calculations'!$C$18)</f>
        <v>173.26754371295712</v>
      </c>
      <c r="E41" s="5">
        <f>IFERROR(VLOOKUP(C41,'Elec Wpc'!$D$22:$V$204,19,FALSE),"NA")*(1+'Elec Calculations'!$C$18)</f>
        <v>176.5512226955714</v>
      </c>
      <c r="F41" s="25">
        <f>IFERROR(VLOOKUP(C41,'Elec Wpc'!$D$22:$W$204,20,FALSE),"NA")*MAX(0,E41-D41)</f>
        <v>2.8426890366020285</v>
      </c>
      <c r="G41" s="43">
        <f t="shared" si="0"/>
        <v>0.85</v>
      </c>
      <c r="H41" s="43">
        <f>VLOOKUP(MONTH(C41),'Elec Calculations'!$A$39:'Elec Calculations'!$D$50,4,FALSE)</f>
        <v>0.63551999999999997</v>
      </c>
      <c r="I41" s="43">
        <f>'Elec Calculations'!$C$24</f>
        <v>1</v>
      </c>
      <c r="J41" s="43">
        <f t="shared" si="1"/>
        <v>1.5355978760601228</v>
      </c>
      <c r="K41" s="26"/>
    </row>
    <row r="42" spans="1:11" x14ac:dyDescent="0.35">
      <c r="A42" s="26"/>
      <c r="B42" s="16" t="s">
        <v>22</v>
      </c>
      <c r="C42" s="12">
        <v>44708</v>
      </c>
      <c r="D42" s="5">
        <f>IFERROR(VLOOKUP(C42,'Elec Wc'!$D$23:$W$1048576,20,FALSE),"NA")*(1+'Elec Calculations'!$C$18)</f>
        <v>173.26754371295712</v>
      </c>
      <c r="E42" s="5">
        <f>IFERROR(VLOOKUP(C42,'Elec Wpc'!$D$22:$V$204,19,FALSE),"NA")*(1+'Elec Calculations'!$C$18)</f>
        <v>176.5512226955714</v>
      </c>
      <c r="F42" s="25">
        <f>IFERROR(VLOOKUP(C42,'Elec Wpc'!$D$22:$W$204,20,FALSE),"NA")*MAX(0,E42-D42)</f>
        <v>2.8426890366020285</v>
      </c>
      <c r="G42" s="43">
        <f t="shared" si="0"/>
        <v>0.85</v>
      </c>
      <c r="H42" s="43">
        <f>VLOOKUP(MONTH(C42),'Elec Calculations'!$A$39:'Elec Calculations'!$D$50,4,FALSE)</f>
        <v>0.63551999999999997</v>
      </c>
      <c r="I42" s="43">
        <f>'Elec Calculations'!$C$24</f>
        <v>1</v>
      </c>
      <c r="J42" s="43">
        <f t="shared" si="1"/>
        <v>1.5355978760601228</v>
      </c>
      <c r="K42" s="26"/>
    </row>
    <row r="43" spans="1:11" x14ac:dyDescent="0.35">
      <c r="A43" s="26"/>
      <c r="B43" s="16" t="s">
        <v>24</v>
      </c>
      <c r="C43" s="12">
        <v>44711</v>
      </c>
      <c r="D43" s="5">
        <f>IFERROR(VLOOKUP(C43,'Elec Wc'!$D$23:$W$1048576,20,FALSE),"NA")*(1+'Elec Calculations'!$C$18)</f>
        <v>159.61309529927306</v>
      </c>
      <c r="E43" s="5">
        <f>IFERROR(VLOOKUP(C43,'Elec Wpc'!$D$22:$V$204,19,FALSE),"NA")*(1+'Elec Calculations'!$C$18)</f>
        <v>180.67774421795056</v>
      </c>
      <c r="F43" s="25">
        <f>IFERROR(VLOOKUP(C43,'Elec Wpc'!$D$22:$W$204,20,FALSE),"NA")*MAX(0,E43-D43)</f>
        <v>18.235718795301395</v>
      </c>
      <c r="G43" s="43">
        <f t="shared" si="0"/>
        <v>0.85</v>
      </c>
      <c r="H43" s="43">
        <f>VLOOKUP(MONTH(C43),'Elec Calculations'!$A$39:'Elec Calculations'!$D$50,4,FALSE)</f>
        <v>0.63551999999999997</v>
      </c>
      <c r="I43" s="43">
        <f>'Elec Calculations'!$C$24</f>
        <v>1</v>
      </c>
      <c r="J43" s="43">
        <f t="shared" si="1"/>
        <v>9.850789407471451</v>
      </c>
      <c r="K43" s="26"/>
    </row>
    <row r="44" spans="1:11" x14ac:dyDescent="0.35">
      <c r="A44" s="26"/>
      <c r="B44" s="16" t="s">
        <v>25</v>
      </c>
      <c r="C44" s="12">
        <v>44712</v>
      </c>
      <c r="D44" s="5">
        <f>IFERROR(VLOOKUP(C44,'Elec Wc'!$D$23:$W$1048576,20,FALSE),"NA")*(1+'Elec Calculations'!$C$18)</f>
        <v>159.61309529927306</v>
      </c>
      <c r="E44" s="5">
        <f>IFERROR(VLOOKUP(C44,'Elec Wpc'!$D$22:$V$204,19,FALSE),"NA")*(1+'Elec Calculations'!$C$18)</f>
        <v>180.67774421795056</v>
      </c>
      <c r="F44" s="25">
        <f>IFERROR(VLOOKUP(C44,'Elec Wpc'!$D$22:$W$204,20,FALSE),"NA")*MAX(0,E44-D44)</f>
        <v>18.235718795301395</v>
      </c>
      <c r="G44" s="43">
        <f t="shared" si="0"/>
        <v>0.85</v>
      </c>
      <c r="H44" s="43">
        <f>VLOOKUP(MONTH(C44),'Elec Calculations'!$A$39:'Elec Calculations'!$D$50,4,FALSE)</f>
        <v>0.63551999999999997</v>
      </c>
      <c r="I44" s="43">
        <f>'Elec Calculations'!$C$24</f>
        <v>1</v>
      </c>
      <c r="J44" s="43">
        <f t="shared" si="1"/>
        <v>9.850789407471451</v>
      </c>
      <c r="K44" s="26"/>
    </row>
    <row r="45" spans="1:11" x14ac:dyDescent="0.35">
      <c r="A45" s="26"/>
      <c r="B45" s="16" t="s">
        <v>26</v>
      </c>
      <c r="C45" s="12">
        <v>44713</v>
      </c>
      <c r="D45" s="5">
        <f>IFERROR(VLOOKUP(C45,'Elec Wc'!$D$23:$W$1048576,20,FALSE),"NA")*(1+'Elec Calculations'!$C$18)</f>
        <v>159.61309529927306</v>
      </c>
      <c r="E45" s="5">
        <f>IFERROR(VLOOKUP(C45,'Elec Wpc'!$D$22:$V$204,19,FALSE),"NA")*(1+'Elec Calculations'!$C$18)</f>
        <v>180.67774421795056</v>
      </c>
      <c r="F45" s="25">
        <f>IFERROR(VLOOKUP(C45,'Elec Wpc'!$D$22:$W$204,20,FALSE),"NA")*MAX(0,E45-D45)</f>
        <v>18.235718795301395</v>
      </c>
      <c r="G45" s="43">
        <f t="shared" si="0"/>
        <v>0.85</v>
      </c>
      <c r="H45" s="43">
        <f>VLOOKUP(MONTH(C45),'Elec Calculations'!$A$39:'Elec Calculations'!$D$50,4,FALSE)</f>
        <v>0.66525999999999996</v>
      </c>
      <c r="I45" s="43">
        <f>'Elec Calculations'!$C$24</f>
        <v>1</v>
      </c>
      <c r="J45" s="43">
        <f t="shared" si="1"/>
        <v>10.311770142897874</v>
      </c>
      <c r="K45" s="26"/>
    </row>
    <row r="46" spans="1:11" x14ac:dyDescent="0.35">
      <c r="A46" s="26"/>
      <c r="B46" s="16" t="s">
        <v>24</v>
      </c>
      <c r="C46" s="12">
        <v>44718</v>
      </c>
      <c r="D46" s="5">
        <f>IFERROR(VLOOKUP(C46,'Elec Wc'!$D$23:$W$1048576,20,FALSE),"NA")*(1+'Elec Calculations'!$C$18)</f>
        <v>155.6600517102913</v>
      </c>
      <c r="E46" s="5">
        <f>IFERROR(VLOOKUP(C46,'Elec Wpc'!$D$22:$V$204,19,FALSE),"NA")*(1+'Elec Calculations'!$C$18)</f>
        <v>184.35893232014516</v>
      </c>
      <c r="F46" s="25">
        <f>IFERROR(VLOOKUP(C46,'Elec Wpc'!$D$22:$W$204,20,FALSE),"NA")*MAX(0,E46-D46)</f>
        <v>24.844692098199932</v>
      </c>
      <c r="G46" s="43">
        <f t="shared" si="0"/>
        <v>0.85</v>
      </c>
      <c r="H46" s="43">
        <f>VLOOKUP(MONTH(C46),'Elec Calculations'!$A$39:'Elec Calculations'!$D$50,4,FALSE)</f>
        <v>0.66525999999999996</v>
      </c>
      <c r="I46" s="43">
        <f>'Elec Calculations'!$C$24</f>
        <v>1</v>
      </c>
      <c r="J46" s="43">
        <f t="shared" si="1"/>
        <v>14.048952885461212</v>
      </c>
      <c r="K46" s="26"/>
    </row>
    <row r="47" spans="1:11" x14ac:dyDescent="0.35">
      <c r="A47" s="26"/>
      <c r="B47" s="16" t="s">
        <v>25</v>
      </c>
      <c r="C47" s="12">
        <v>44719</v>
      </c>
      <c r="D47" s="5">
        <f>IFERROR(VLOOKUP(C47,'Elec Wc'!$D$23:$W$1048576,20,FALSE),"NA")*(1+'Elec Calculations'!$C$18)</f>
        <v>155.6600517102913</v>
      </c>
      <c r="E47" s="5">
        <f>IFERROR(VLOOKUP(C47,'Elec Wpc'!$D$22:$V$204,19,FALSE),"NA")*(1+'Elec Calculations'!$C$18)</f>
        <v>184.35893232014516</v>
      </c>
      <c r="F47" s="25">
        <f>IFERROR(VLOOKUP(C47,'Elec Wpc'!$D$22:$W$204,20,FALSE),"NA")*MAX(0,E47-D47)</f>
        <v>24.844692098199932</v>
      </c>
      <c r="G47" s="43">
        <f t="shared" si="0"/>
        <v>0.85</v>
      </c>
      <c r="H47" s="43">
        <f>VLOOKUP(MONTH(C47),'Elec Calculations'!$A$39:'Elec Calculations'!$D$50,4,FALSE)</f>
        <v>0.66525999999999996</v>
      </c>
      <c r="I47" s="43">
        <f>'Elec Calculations'!$C$24</f>
        <v>1</v>
      </c>
      <c r="J47" s="43">
        <f t="shared" si="1"/>
        <v>14.048952885461212</v>
      </c>
      <c r="K47" s="26"/>
    </row>
    <row r="48" spans="1:11" x14ac:dyDescent="0.35">
      <c r="A48" s="26"/>
      <c r="B48" s="16" t="s">
        <v>26</v>
      </c>
      <c r="C48" s="12">
        <v>44720</v>
      </c>
      <c r="D48" s="5">
        <f>IFERROR(VLOOKUP(C48,'Elec Wc'!$D$23:$W$1048576,20,FALSE),"NA")*(1+'Elec Calculations'!$C$18)</f>
        <v>155.6600517102913</v>
      </c>
      <c r="E48" s="5">
        <f>IFERROR(VLOOKUP(C48,'Elec Wpc'!$D$22:$V$204,19,FALSE),"NA")*(1+'Elec Calculations'!$C$18)</f>
        <v>184.35893232014516</v>
      </c>
      <c r="F48" s="25">
        <f>IFERROR(VLOOKUP(C48,'Elec Wpc'!$D$22:$W$204,20,FALSE),"NA")*MAX(0,E48-D48)</f>
        <v>24.844692098199932</v>
      </c>
      <c r="G48" s="43">
        <f t="shared" si="0"/>
        <v>0.85</v>
      </c>
      <c r="H48" s="43">
        <f>VLOOKUP(MONTH(C48),'Elec Calculations'!$A$39:'Elec Calculations'!$D$50,4,FALSE)</f>
        <v>0.66525999999999996</v>
      </c>
      <c r="I48" s="43">
        <f>'Elec Calculations'!$C$24</f>
        <v>1</v>
      </c>
      <c r="J48" s="43">
        <f t="shared" si="1"/>
        <v>14.048952885461212</v>
      </c>
      <c r="K48" s="26"/>
    </row>
    <row r="49" spans="1:11" x14ac:dyDescent="0.35">
      <c r="A49" s="26"/>
      <c r="B49" s="16" t="s">
        <v>27</v>
      </c>
      <c r="C49" s="12">
        <v>44721</v>
      </c>
      <c r="D49" s="5">
        <f>IFERROR(VLOOKUP(C49,'Elec Wc'!$D$23:$W$1048576,20,FALSE),"NA")*(1+'Elec Calculations'!$C$18)</f>
        <v>155.6600517102913</v>
      </c>
      <c r="E49" s="5">
        <f>IFERROR(VLOOKUP(C49,'Elec Wpc'!$D$22:$V$204,19,FALSE),"NA")*(1+'Elec Calculations'!$C$18)</f>
        <v>184.35893232014516</v>
      </c>
      <c r="F49" s="25">
        <f>IFERROR(VLOOKUP(C49,'Elec Wpc'!$D$22:$W$204,20,FALSE),"NA")*MAX(0,E49-D49)</f>
        <v>24.844692098199932</v>
      </c>
      <c r="G49" s="43">
        <f t="shared" si="0"/>
        <v>0.85</v>
      </c>
      <c r="H49" s="43">
        <f>VLOOKUP(MONTH(C49),'Elec Calculations'!$A$39:'Elec Calculations'!$D$50,4,FALSE)</f>
        <v>0.66525999999999996</v>
      </c>
      <c r="I49" s="43">
        <f>'Elec Calculations'!$C$24</f>
        <v>1</v>
      </c>
      <c r="J49" s="43">
        <f t="shared" si="1"/>
        <v>14.048952885461212</v>
      </c>
      <c r="K49" s="26"/>
    </row>
    <row r="50" spans="1:11" x14ac:dyDescent="0.35">
      <c r="A50" s="26"/>
      <c r="B50" s="16" t="s">
        <v>22</v>
      </c>
      <c r="C50" s="12">
        <v>44722</v>
      </c>
      <c r="D50" s="5">
        <f>IFERROR(VLOOKUP(C50,'Elec Wc'!$D$23:$W$1048576,20,FALSE),"NA")*(1+'Elec Calculations'!$C$18)</f>
        <v>155.6600517102913</v>
      </c>
      <c r="E50" s="5">
        <f>IFERROR(VLOOKUP(C50,'Elec Wpc'!$D$22:$V$204,19,FALSE),"NA")*(1+'Elec Calculations'!$C$18)</f>
        <v>184.35893232014516</v>
      </c>
      <c r="F50" s="25">
        <f>IFERROR(VLOOKUP(C50,'Elec Wpc'!$D$22:$W$204,20,FALSE),"NA")*MAX(0,E50-D50)</f>
        <v>24.844692098199932</v>
      </c>
      <c r="G50" s="43">
        <f t="shared" si="0"/>
        <v>0.85</v>
      </c>
      <c r="H50" s="43">
        <f>VLOOKUP(MONTH(C50),'Elec Calculations'!$A$39:'Elec Calculations'!$D$50,4,FALSE)</f>
        <v>0.66525999999999996</v>
      </c>
      <c r="I50" s="43">
        <f>'Elec Calculations'!$C$24</f>
        <v>1</v>
      </c>
      <c r="J50" s="43">
        <f t="shared" si="1"/>
        <v>14.048952885461212</v>
      </c>
      <c r="K50" s="26"/>
    </row>
    <row r="51" spans="1:11" x14ac:dyDescent="0.35">
      <c r="A51" s="26"/>
      <c r="B51" s="16" t="s">
        <v>24</v>
      </c>
      <c r="C51" s="12">
        <v>44725</v>
      </c>
      <c r="D51" s="5">
        <f>IFERROR(VLOOKUP(C51,'Elec Wc'!$D$23:$W$1048576,20,FALSE),"NA")*(1+'Elec Calculations'!$C$18)</f>
        <v>143.51632914855057</v>
      </c>
      <c r="E51" s="5">
        <f>IFERROR(VLOOKUP(C51,'Elec Wpc'!$D$22:$V$204,19,FALSE),"NA")*(1+'Elec Calculations'!$C$18)</f>
        <v>189.17050528438065</v>
      </c>
      <c r="F51" s="25">
        <f>IFERROR(VLOOKUP(C51,'Elec Wpc'!$D$22:$W$204,20,FALSE),"NA")*MAX(0,E51-D51)</f>
        <v>39.522933472960347</v>
      </c>
      <c r="G51" s="43">
        <f t="shared" si="0"/>
        <v>0.85</v>
      </c>
      <c r="H51" s="43">
        <f>VLOOKUP(MONTH(C51),'Elec Calculations'!$A$39:'Elec Calculations'!$D$50,4,FALSE)</f>
        <v>0.66525999999999996</v>
      </c>
      <c r="I51" s="43">
        <f>'Elec Calculations'!$C$24</f>
        <v>1</v>
      </c>
      <c r="J51" s="43">
        <f t="shared" si="1"/>
        <v>22.349072713888358</v>
      </c>
      <c r="K51" s="26"/>
    </row>
    <row r="52" spans="1:11" x14ac:dyDescent="0.35">
      <c r="A52" s="26"/>
      <c r="B52" s="16" t="s">
        <v>25</v>
      </c>
      <c r="C52" s="12">
        <v>44726</v>
      </c>
      <c r="D52" s="5">
        <f>IFERROR(VLOOKUP(C52,'Elec Wc'!$D$23:$W$1048576,20,FALSE),"NA")*(1+'Elec Calculations'!$C$18)</f>
        <v>143.51632914855057</v>
      </c>
      <c r="E52" s="5">
        <f>IFERROR(VLOOKUP(C52,'Elec Wpc'!$D$22:$V$204,19,FALSE),"NA")*(1+'Elec Calculations'!$C$18)</f>
        <v>189.17050528438065</v>
      </c>
      <c r="F52" s="25">
        <f>IFERROR(VLOOKUP(C52,'Elec Wpc'!$D$22:$W$204,20,FALSE),"NA")*MAX(0,E52-D52)</f>
        <v>39.522933472960347</v>
      </c>
      <c r="G52" s="43">
        <f t="shared" si="0"/>
        <v>0.85</v>
      </c>
      <c r="H52" s="43">
        <f>VLOOKUP(MONTH(C52),'Elec Calculations'!$A$39:'Elec Calculations'!$D$50,4,FALSE)</f>
        <v>0.66525999999999996</v>
      </c>
      <c r="I52" s="43">
        <f>'Elec Calculations'!$C$24</f>
        <v>1</v>
      </c>
      <c r="J52" s="43">
        <f t="shared" si="1"/>
        <v>22.349072713888358</v>
      </c>
      <c r="K52" s="26"/>
    </row>
    <row r="53" spans="1:11" x14ac:dyDescent="0.35">
      <c r="A53" s="26"/>
      <c r="B53" s="16" t="s">
        <v>26</v>
      </c>
      <c r="C53" s="12">
        <v>44727</v>
      </c>
      <c r="D53" s="5">
        <f>IFERROR(VLOOKUP(C53,'Elec Wc'!$D$23:$W$1048576,20,FALSE),"NA")*(1+'Elec Calculations'!$C$18)</f>
        <v>143.51632914855057</v>
      </c>
      <c r="E53" s="5">
        <f>IFERROR(VLOOKUP(C53,'Elec Wpc'!$D$22:$V$204,19,FALSE),"NA")*(1+'Elec Calculations'!$C$18)</f>
        <v>189.17050528438065</v>
      </c>
      <c r="F53" s="25">
        <f>IFERROR(VLOOKUP(C53,'Elec Wpc'!$D$22:$W$204,20,FALSE),"NA")*MAX(0,E53-D53)</f>
        <v>39.522933472960347</v>
      </c>
      <c r="G53" s="43">
        <f t="shared" si="0"/>
        <v>0.85</v>
      </c>
      <c r="H53" s="43">
        <f>VLOOKUP(MONTH(C53),'Elec Calculations'!$A$39:'Elec Calculations'!$D$50,4,FALSE)</f>
        <v>0.66525999999999996</v>
      </c>
      <c r="I53" s="43">
        <f>'Elec Calculations'!$C$24</f>
        <v>1</v>
      </c>
      <c r="J53" s="43">
        <f t="shared" si="1"/>
        <v>22.349072713888358</v>
      </c>
      <c r="K53" s="26"/>
    </row>
    <row r="54" spans="1:11" x14ac:dyDescent="0.35">
      <c r="A54" s="26"/>
      <c r="B54" s="16" t="s">
        <v>27</v>
      </c>
      <c r="C54" s="12">
        <v>44728</v>
      </c>
      <c r="D54" s="5">
        <f>IFERROR(VLOOKUP(C54,'Elec Wc'!$D$23:$W$1048576,20,FALSE),"NA")*(1+'Elec Calculations'!$C$18)</f>
        <v>143.51632914855057</v>
      </c>
      <c r="E54" s="5">
        <f>IFERROR(VLOOKUP(C54,'Elec Wpc'!$D$22:$V$204,19,FALSE),"NA")*(1+'Elec Calculations'!$C$18)</f>
        <v>189.17050528438065</v>
      </c>
      <c r="F54" s="25">
        <f>IFERROR(VLOOKUP(C54,'Elec Wpc'!$D$22:$W$204,20,FALSE),"NA")*MAX(0,E54-D54)</f>
        <v>39.522933472960347</v>
      </c>
      <c r="G54" s="43">
        <f t="shared" si="0"/>
        <v>0.85</v>
      </c>
      <c r="H54" s="43">
        <f>VLOOKUP(MONTH(C54),'Elec Calculations'!$A$39:'Elec Calculations'!$D$50,4,FALSE)</f>
        <v>0.66525999999999996</v>
      </c>
      <c r="I54" s="43">
        <f>'Elec Calculations'!$C$24</f>
        <v>1</v>
      </c>
      <c r="J54" s="43">
        <f t="shared" si="1"/>
        <v>22.349072713888358</v>
      </c>
      <c r="K54" s="26"/>
    </row>
    <row r="55" spans="1:11" x14ac:dyDescent="0.35">
      <c r="A55" s="26"/>
      <c r="B55" s="16" t="s">
        <v>22</v>
      </c>
      <c r="C55" s="12">
        <v>44729</v>
      </c>
      <c r="D55" s="5">
        <f>IFERROR(VLOOKUP(C55,'Elec Wc'!$D$23:$W$1048576,20,FALSE),"NA")*(1+'Elec Calculations'!$C$18)</f>
        <v>143.51632914855057</v>
      </c>
      <c r="E55" s="5">
        <f>IFERROR(VLOOKUP(C55,'Elec Wpc'!$D$22:$V$204,19,FALSE),"NA")*(1+'Elec Calculations'!$C$18)</f>
        <v>189.17050528438065</v>
      </c>
      <c r="F55" s="25">
        <f>IFERROR(VLOOKUP(C55,'Elec Wpc'!$D$22:$W$204,20,FALSE),"NA")*MAX(0,E55-D55)</f>
        <v>39.522933472960347</v>
      </c>
      <c r="G55" s="43">
        <f t="shared" si="0"/>
        <v>0.85</v>
      </c>
      <c r="H55" s="43">
        <f>VLOOKUP(MONTH(C55),'Elec Calculations'!$A$39:'Elec Calculations'!$D$50,4,FALSE)</f>
        <v>0.66525999999999996</v>
      </c>
      <c r="I55" s="43">
        <f>'Elec Calculations'!$C$24</f>
        <v>1</v>
      </c>
      <c r="J55" s="43">
        <f t="shared" si="1"/>
        <v>22.349072713888358</v>
      </c>
      <c r="K55" s="26"/>
    </row>
    <row r="56" spans="1:11" x14ac:dyDescent="0.35">
      <c r="A56" s="26"/>
      <c r="B56" s="16" t="s">
        <v>24</v>
      </c>
      <c r="C56" s="12">
        <v>44732</v>
      </c>
      <c r="D56" s="5">
        <f>IFERROR(VLOOKUP(C56,'Elec Wc'!$D$23:$W$1048576,20,FALSE),"NA")*(1+'Elec Calculations'!$C$18)</f>
        <v>129.62215892331614</v>
      </c>
      <c r="E56" s="5">
        <f>IFERROR(VLOOKUP(C56,'Elec Wpc'!$D$22:$V$204,19,FALSE),"NA")*(1+'Elec Calculations'!$C$18)</f>
        <v>193.29594591261957</v>
      </c>
      <c r="F56" s="25">
        <f>IFERROR(VLOOKUP(C56,'Elec Wpc'!$D$22:$W$204,20,FALSE),"NA")*MAX(0,E56-D56)</f>
        <v>55.12255526553335</v>
      </c>
      <c r="G56" s="43">
        <f t="shared" si="0"/>
        <v>0.85</v>
      </c>
      <c r="H56" s="43">
        <f>VLOOKUP(MONTH(C56),'Elec Calculations'!$A$39:'Elec Calculations'!$D$50,4,FALSE)</f>
        <v>0.66525999999999996</v>
      </c>
      <c r="I56" s="43">
        <f>'Elec Calculations'!$C$24</f>
        <v>1</v>
      </c>
      <c r="J56" s="43">
        <f t="shared" si="1"/>
        <v>31.170206448556407</v>
      </c>
      <c r="K56" s="26"/>
    </row>
    <row r="57" spans="1:11" x14ac:dyDescent="0.35">
      <c r="A57" s="26"/>
      <c r="B57" s="16" t="s">
        <v>25</v>
      </c>
      <c r="C57" s="12">
        <v>44733</v>
      </c>
      <c r="D57" s="5">
        <f>IFERROR(VLOOKUP(C57,'Elec Wc'!$D$23:$W$1048576,20,FALSE),"NA")*(1+'Elec Calculations'!$C$18)</f>
        <v>129.62215892331614</v>
      </c>
      <c r="E57" s="5">
        <f>IFERROR(VLOOKUP(C57,'Elec Wpc'!$D$22:$V$204,19,FALSE),"NA")*(1+'Elec Calculations'!$C$18)</f>
        <v>193.29594591261957</v>
      </c>
      <c r="F57" s="25">
        <f>IFERROR(VLOOKUP(C57,'Elec Wpc'!$D$22:$W$204,20,FALSE),"NA")*MAX(0,E57-D57)</f>
        <v>55.12255526553335</v>
      </c>
      <c r="G57" s="43">
        <f t="shared" si="0"/>
        <v>0.85</v>
      </c>
      <c r="H57" s="43">
        <f>VLOOKUP(MONTH(C57),'Elec Calculations'!$A$39:'Elec Calculations'!$D$50,4,FALSE)</f>
        <v>0.66525999999999996</v>
      </c>
      <c r="I57" s="43">
        <f>'Elec Calculations'!$C$24</f>
        <v>1</v>
      </c>
      <c r="J57" s="43">
        <f t="shared" si="1"/>
        <v>31.170206448556407</v>
      </c>
      <c r="K57" s="26"/>
    </row>
    <row r="58" spans="1:11" x14ac:dyDescent="0.35">
      <c r="A58" s="26"/>
      <c r="B58" s="16" t="s">
        <v>26</v>
      </c>
      <c r="C58" s="12">
        <v>44734</v>
      </c>
      <c r="D58" s="5">
        <f>IFERROR(VLOOKUP(C58,'Elec Wc'!$D$23:$W$1048576,20,FALSE),"NA")*(1+'Elec Calculations'!$C$18)</f>
        <v>129.62215892331614</v>
      </c>
      <c r="E58" s="5">
        <f>IFERROR(VLOOKUP(C58,'Elec Wpc'!$D$22:$V$204,19,FALSE),"NA")*(1+'Elec Calculations'!$C$18)</f>
        <v>193.29594591261957</v>
      </c>
      <c r="F58" s="25">
        <f>IFERROR(VLOOKUP(C58,'Elec Wpc'!$D$22:$W$204,20,FALSE),"NA")*MAX(0,E58-D58)</f>
        <v>55.12255526553335</v>
      </c>
      <c r="G58" s="43">
        <f t="shared" si="0"/>
        <v>0.85</v>
      </c>
      <c r="H58" s="43">
        <f>VLOOKUP(MONTH(C58),'Elec Calculations'!$A$39:'Elec Calculations'!$D$50,4,FALSE)</f>
        <v>0.66525999999999996</v>
      </c>
      <c r="I58" s="43">
        <f>'Elec Calculations'!$C$24</f>
        <v>1</v>
      </c>
      <c r="J58" s="43">
        <f t="shared" si="1"/>
        <v>31.170206448556407</v>
      </c>
      <c r="K58" s="26"/>
    </row>
    <row r="59" spans="1:11" x14ac:dyDescent="0.35">
      <c r="A59" s="26"/>
      <c r="B59" s="16" t="s">
        <v>27</v>
      </c>
      <c r="C59" s="12">
        <v>44735</v>
      </c>
      <c r="D59" s="5">
        <f>IFERROR(VLOOKUP(C59,'Elec Wc'!$D$23:$W$1048576,20,FALSE),"NA")*(1+'Elec Calculations'!$C$18)</f>
        <v>129.62215892331614</v>
      </c>
      <c r="E59" s="5">
        <f>IFERROR(VLOOKUP(C59,'Elec Wpc'!$D$22:$V$204,19,FALSE),"NA")*(1+'Elec Calculations'!$C$18)</f>
        <v>193.29594591261957</v>
      </c>
      <c r="F59" s="25">
        <f>IFERROR(VLOOKUP(C59,'Elec Wpc'!$D$22:$W$204,20,FALSE),"NA")*MAX(0,E59-D59)</f>
        <v>55.12255526553335</v>
      </c>
      <c r="G59" s="43">
        <f t="shared" si="0"/>
        <v>0.85</v>
      </c>
      <c r="H59" s="43">
        <f>VLOOKUP(MONTH(C59),'Elec Calculations'!$A$39:'Elec Calculations'!$D$50,4,FALSE)</f>
        <v>0.66525999999999996</v>
      </c>
      <c r="I59" s="43">
        <f>'Elec Calculations'!$C$24</f>
        <v>1</v>
      </c>
      <c r="J59" s="43">
        <f t="shared" si="1"/>
        <v>31.170206448556407</v>
      </c>
      <c r="K59" s="26"/>
    </row>
    <row r="60" spans="1:11" x14ac:dyDescent="0.35">
      <c r="A60" s="26"/>
      <c r="B60" s="16" t="s">
        <v>22</v>
      </c>
      <c r="C60" s="12">
        <v>44736</v>
      </c>
      <c r="D60" s="5">
        <f>IFERROR(VLOOKUP(C60,'Elec Wc'!$D$23:$W$1048576,20,FALSE),"NA")*(1+'Elec Calculations'!$C$18)</f>
        <v>129.62215892331614</v>
      </c>
      <c r="E60" s="5">
        <f>IFERROR(VLOOKUP(C60,'Elec Wpc'!$D$22:$V$204,19,FALSE),"NA")*(1+'Elec Calculations'!$C$18)</f>
        <v>193.29594591261957</v>
      </c>
      <c r="F60" s="25">
        <f>IFERROR(VLOOKUP(C60,'Elec Wpc'!$D$22:$W$204,20,FALSE),"NA")*MAX(0,E60-D60)</f>
        <v>55.12255526553335</v>
      </c>
      <c r="G60" s="43">
        <f t="shared" si="0"/>
        <v>0.85</v>
      </c>
      <c r="H60" s="43">
        <f>VLOOKUP(MONTH(C60),'Elec Calculations'!$A$39:'Elec Calculations'!$D$50,4,FALSE)</f>
        <v>0.66525999999999996</v>
      </c>
      <c r="I60" s="43">
        <f>'Elec Calculations'!$C$24</f>
        <v>1</v>
      </c>
      <c r="J60" s="43">
        <f t="shared" si="1"/>
        <v>31.170206448556407</v>
      </c>
      <c r="K60" s="26"/>
    </row>
    <row r="61" spans="1:11" x14ac:dyDescent="0.35">
      <c r="A61" s="26"/>
      <c r="B61" s="16" t="s">
        <v>24</v>
      </c>
      <c r="C61" s="12">
        <v>44739</v>
      </c>
      <c r="D61" s="5">
        <f>IFERROR(VLOOKUP(C61,'Elec Wc'!$D$23:$W$1048576,20,FALSE),"NA")*(1+'Elec Calculations'!$C$18)</f>
        <v>117.07962925758903</v>
      </c>
      <c r="E61" s="5">
        <f>IFERROR(VLOOKUP(C61,'Elec Wpc'!$D$22:$V$204,19,FALSE),"NA")*(1+'Elec Calculations'!$C$18)</f>
        <v>197.34379289155112</v>
      </c>
      <c r="F61" s="25">
        <f>IFERROR(VLOOKUP(C61,'Elec Wpc'!$D$22:$W$204,20,FALSE),"NA")*MAX(0,E61-D61)</f>
        <v>69.48488545997958</v>
      </c>
      <c r="G61" s="43">
        <f t="shared" si="0"/>
        <v>0.85</v>
      </c>
      <c r="H61" s="43">
        <f>VLOOKUP(MONTH(C61),'Elec Calculations'!$A$39:'Elec Calculations'!$D$50,4,FALSE)</f>
        <v>0.66525999999999996</v>
      </c>
      <c r="I61" s="43">
        <f>'Elec Calculations'!$C$24</f>
        <v>1</v>
      </c>
      <c r="J61" s="43">
        <f t="shared" si="1"/>
        <v>39.29168766594011</v>
      </c>
      <c r="K61" s="26"/>
    </row>
    <row r="62" spans="1:11" x14ac:dyDescent="0.35">
      <c r="A62" s="26"/>
      <c r="B62" s="16" t="s">
        <v>25</v>
      </c>
      <c r="C62" s="12">
        <v>44740</v>
      </c>
      <c r="D62" s="5">
        <f>IFERROR(VLOOKUP(C62,'Elec Wc'!$D$23:$W$1048576,20,FALSE),"NA")*(1+'Elec Calculations'!$C$18)</f>
        <v>117.07962925758903</v>
      </c>
      <c r="E62" s="5">
        <f>IFERROR(VLOOKUP(C62,'Elec Wpc'!$D$22:$V$204,19,FALSE),"NA")*(1+'Elec Calculations'!$C$18)</f>
        <v>197.34379289155112</v>
      </c>
      <c r="F62" s="25">
        <f>IFERROR(VLOOKUP(C62,'Elec Wpc'!$D$22:$W$204,20,FALSE),"NA")*MAX(0,E62-D62)</f>
        <v>69.48488545997958</v>
      </c>
      <c r="G62" s="43">
        <f t="shared" si="0"/>
        <v>0.85</v>
      </c>
      <c r="H62" s="43">
        <f>VLOOKUP(MONTH(C62),'Elec Calculations'!$A$39:'Elec Calculations'!$D$50,4,FALSE)</f>
        <v>0.66525999999999996</v>
      </c>
      <c r="I62" s="43">
        <f>'Elec Calculations'!$C$24</f>
        <v>1</v>
      </c>
      <c r="J62" s="43">
        <f t="shared" si="1"/>
        <v>39.29168766594011</v>
      </c>
      <c r="K62" s="26"/>
    </row>
    <row r="63" spans="1:11" x14ac:dyDescent="0.35">
      <c r="A63" s="26"/>
      <c r="B63" s="16" t="s">
        <v>26</v>
      </c>
      <c r="C63" s="12">
        <v>44741</v>
      </c>
      <c r="D63" s="5">
        <f>IFERROR(VLOOKUP(C63,'Elec Wc'!$D$23:$W$1048576,20,FALSE),"NA")*(1+'Elec Calculations'!$C$18)</f>
        <v>117.07962925758903</v>
      </c>
      <c r="E63" s="5">
        <f>IFERROR(VLOOKUP(C63,'Elec Wpc'!$D$22:$V$204,19,FALSE),"NA")*(1+'Elec Calculations'!$C$18)</f>
        <v>197.34379289155112</v>
      </c>
      <c r="F63" s="25">
        <f>IFERROR(VLOOKUP(C63,'Elec Wpc'!$D$22:$W$204,20,FALSE),"NA")*MAX(0,E63-D63)</f>
        <v>69.48488545997958</v>
      </c>
      <c r="G63" s="43">
        <f t="shared" si="0"/>
        <v>0.85</v>
      </c>
      <c r="H63" s="43">
        <f>VLOOKUP(MONTH(C63),'Elec Calculations'!$A$39:'Elec Calculations'!$D$50,4,FALSE)</f>
        <v>0.66525999999999996</v>
      </c>
      <c r="I63" s="43">
        <f>'Elec Calculations'!$C$24</f>
        <v>1</v>
      </c>
      <c r="J63" s="43">
        <f t="shared" si="1"/>
        <v>39.29168766594011</v>
      </c>
      <c r="K63" s="26"/>
    </row>
    <row r="64" spans="1:11" x14ac:dyDescent="0.35">
      <c r="A64" s="26"/>
      <c r="B64" s="16" t="s">
        <v>27</v>
      </c>
      <c r="C64" s="12">
        <v>44742</v>
      </c>
      <c r="D64" s="5">
        <f>IFERROR(VLOOKUP(C64,'Elec Wc'!$D$23:$W$1048576,20,FALSE),"NA")*(1+'Elec Calculations'!$C$18)</f>
        <v>117.07962925758903</v>
      </c>
      <c r="E64" s="5">
        <f>IFERROR(VLOOKUP(C64,'Elec Wpc'!$D$22:$V$204,19,FALSE),"NA")*(1+'Elec Calculations'!$C$18)</f>
        <v>197.34379289155112</v>
      </c>
      <c r="F64" s="25">
        <f>IFERROR(VLOOKUP(C64,'Elec Wpc'!$D$22:$W$204,20,FALSE),"NA")*MAX(0,E64-D64)</f>
        <v>69.48488545997958</v>
      </c>
      <c r="G64" s="43">
        <f t="shared" si="0"/>
        <v>0.85</v>
      </c>
      <c r="H64" s="43">
        <f>VLOOKUP(MONTH(C64),'Elec Calculations'!$A$39:'Elec Calculations'!$D$50,4,FALSE)</f>
        <v>0.66525999999999996</v>
      </c>
      <c r="I64" s="43">
        <f>'Elec Calculations'!$C$24</f>
        <v>1</v>
      </c>
      <c r="J64" s="43">
        <f t="shared" si="1"/>
        <v>39.29168766594011</v>
      </c>
      <c r="K64" s="26"/>
    </row>
    <row r="65" spans="1:11" x14ac:dyDescent="0.35">
      <c r="A65" s="26"/>
      <c r="B65" s="16" t="s">
        <v>22</v>
      </c>
      <c r="C65" s="12">
        <v>44743</v>
      </c>
      <c r="D65" s="5">
        <f>IFERROR(VLOOKUP(C65,'Elec Wc'!$D$23:$W$1048576,20,FALSE),"NA")*(1+'Elec Calculations'!$C$18)</f>
        <v>117.07962925758903</v>
      </c>
      <c r="E65" s="5">
        <f>IFERROR(VLOOKUP(C65,'Elec Wpc'!$D$22:$V$204,19,FALSE),"NA")*(1+'Elec Calculations'!$C$18)</f>
        <v>197.34379289155112</v>
      </c>
      <c r="F65" s="25">
        <f>IFERROR(VLOOKUP(C65,'Elec Wpc'!$D$22:$W$204,20,FALSE),"NA")*MAX(0,E65-D65)</f>
        <v>69.48488545997958</v>
      </c>
      <c r="G65" s="43">
        <f t="shared" si="0"/>
        <v>0.85</v>
      </c>
      <c r="H65" s="43">
        <f>VLOOKUP(MONTH(C65),'Elec Calculations'!$A$39:'Elec Calculations'!$D$50,4,FALSE)</f>
        <v>0.68740999999999997</v>
      </c>
      <c r="I65" s="43">
        <f>'Elec Calculations'!$C$24</f>
        <v>1</v>
      </c>
      <c r="J65" s="43">
        <f t="shared" si="1"/>
        <v>40.599914346937872</v>
      </c>
      <c r="K65" s="26"/>
    </row>
    <row r="66" spans="1:11" x14ac:dyDescent="0.35">
      <c r="A66" s="26"/>
      <c r="B66" s="16" t="s">
        <v>24</v>
      </c>
      <c r="C66" s="12">
        <v>44746</v>
      </c>
      <c r="D66" s="5">
        <f>IFERROR(VLOOKUP(C66,'Elec Wc'!$D$23:$W$1048576,20,FALSE),"NA")*(1+'Elec Calculations'!$C$18)</f>
        <v>105.75603993150303</v>
      </c>
      <c r="E66" s="5">
        <f>IFERROR(VLOOKUP(C66,'Elec Wpc'!$D$22:$V$204,19,FALSE),"NA")*(1+'Elec Calculations'!$C$18)</f>
        <v>201.3162149720491</v>
      </c>
      <c r="F66" s="25">
        <f>IFERROR(VLOOKUP(C66,'Elec Wpc'!$D$22:$W$204,20,FALSE),"NA")*MAX(0,E66-D66)</f>
        <v>82.726680458654556</v>
      </c>
      <c r="G66" s="43">
        <f t="shared" si="0"/>
        <v>0.85</v>
      </c>
      <c r="H66" s="43">
        <f>VLOOKUP(MONTH(C66),'Elec Calculations'!$A$39:'Elec Calculations'!$D$50,4,FALSE)</f>
        <v>0.68740999999999997</v>
      </c>
      <c r="I66" s="43">
        <f>'Elec Calculations'!$C$24</f>
        <v>1</v>
      </c>
      <c r="J66" s="43">
        <f t="shared" si="1"/>
        <v>48.337075301971161</v>
      </c>
      <c r="K66" s="26"/>
    </row>
    <row r="67" spans="1:11" x14ac:dyDescent="0.35">
      <c r="A67" s="26"/>
      <c r="B67" s="16" t="s">
        <v>25</v>
      </c>
      <c r="C67" s="12">
        <v>44747</v>
      </c>
      <c r="D67" s="5">
        <f>IFERROR(VLOOKUP(C67,'Elec Wc'!$D$23:$W$1048576,20,FALSE),"NA")*(1+'Elec Calculations'!$C$18)</f>
        <v>105.75603993150303</v>
      </c>
      <c r="E67" s="5">
        <f>IFERROR(VLOOKUP(C67,'Elec Wpc'!$D$22:$V$204,19,FALSE),"NA")*(1+'Elec Calculations'!$C$18)</f>
        <v>201.3162149720491</v>
      </c>
      <c r="F67" s="25">
        <f>IFERROR(VLOOKUP(C67,'Elec Wpc'!$D$22:$W$204,20,FALSE),"NA")*MAX(0,E67-D67)</f>
        <v>82.726680458654556</v>
      </c>
      <c r="G67" s="43">
        <f t="shared" si="0"/>
        <v>0.85</v>
      </c>
      <c r="H67" s="43">
        <f>VLOOKUP(MONTH(C67),'Elec Calculations'!$A$39:'Elec Calculations'!$D$50,4,FALSE)</f>
        <v>0.68740999999999997</v>
      </c>
      <c r="I67" s="43">
        <f>'Elec Calculations'!$C$24</f>
        <v>1</v>
      </c>
      <c r="J67" s="43">
        <f t="shared" si="1"/>
        <v>48.337075301971161</v>
      </c>
      <c r="K67" s="26"/>
    </row>
    <row r="68" spans="1:11" x14ac:dyDescent="0.35">
      <c r="A68" s="26"/>
      <c r="B68" s="16" t="s">
        <v>26</v>
      </c>
      <c r="C68" s="12">
        <v>44748</v>
      </c>
      <c r="D68" s="5">
        <f>IFERROR(VLOOKUP(C68,'Elec Wc'!$D$23:$W$1048576,20,FALSE),"NA")*(1+'Elec Calculations'!$C$18)</f>
        <v>105.75603993150303</v>
      </c>
      <c r="E68" s="5">
        <f>IFERROR(VLOOKUP(C68,'Elec Wpc'!$D$22:$V$204,19,FALSE),"NA")*(1+'Elec Calculations'!$C$18)</f>
        <v>201.3162149720491</v>
      </c>
      <c r="F68" s="25">
        <f>IFERROR(VLOOKUP(C68,'Elec Wpc'!$D$22:$W$204,20,FALSE),"NA")*MAX(0,E68-D68)</f>
        <v>82.726680458654556</v>
      </c>
      <c r="G68" s="43">
        <f t="shared" si="0"/>
        <v>0.85</v>
      </c>
      <c r="H68" s="43">
        <f>VLOOKUP(MONTH(C68),'Elec Calculations'!$A$39:'Elec Calculations'!$D$50,4,FALSE)</f>
        <v>0.68740999999999997</v>
      </c>
      <c r="I68" s="43">
        <f>'Elec Calculations'!$C$24</f>
        <v>1</v>
      </c>
      <c r="J68" s="43">
        <f t="shared" si="1"/>
        <v>48.337075301971161</v>
      </c>
      <c r="K68" s="26"/>
    </row>
    <row r="69" spans="1:11" x14ac:dyDescent="0.35">
      <c r="A69" s="26"/>
      <c r="B69" s="16" t="s">
        <v>27</v>
      </c>
      <c r="C69" s="12">
        <v>44749</v>
      </c>
      <c r="D69" s="5">
        <f>IFERROR(VLOOKUP(C69,'Elec Wc'!$D$23:$W$1048576,20,FALSE),"NA")*(1+'Elec Calculations'!$C$18)</f>
        <v>105.75603993150303</v>
      </c>
      <c r="E69" s="5">
        <f>IFERROR(VLOOKUP(C69,'Elec Wpc'!$D$22:$V$204,19,FALSE),"NA")*(1+'Elec Calculations'!$C$18)</f>
        <v>201.3162149720491</v>
      </c>
      <c r="F69" s="25">
        <f>IFERROR(VLOOKUP(C69,'Elec Wpc'!$D$22:$W$204,20,FALSE),"NA")*MAX(0,E69-D69)</f>
        <v>82.726680458654556</v>
      </c>
      <c r="G69" s="43">
        <f t="shared" ref="G69:G129" si="2">X</f>
        <v>0.85</v>
      </c>
      <c r="H69" s="43">
        <f>VLOOKUP(MONTH(C69),'Elec Calculations'!$A$39:'Elec Calculations'!$D$50,4,FALSE)</f>
        <v>0.68740999999999997</v>
      </c>
      <c r="I69" s="43">
        <f>'Elec Calculations'!$C$24</f>
        <v>1</v>
      </c>
      <c r="J69" s="43">
        <f t="shared" si="1"/>
        <v>48.337075301971161</v>
      </c>
      <c r="K69" s="26"/>
    </row>
    <row r="70" spans="1:11" x14ac:dyDescent="0.35">
      <c r="A70" s="26"/>
      <c r="B70" s="16" t="s">
        <v>22</v>
      </c>
      <c r="C70" s="12">
        <v>44750</v>
      </c>
      <c r="D70" s="5">
        <f>IFERROR(VLOOKUP(C70,'Elec Wc'!$D$23:$W$1048576,20,FALSE),"NA")*(1+'Elec Calculations'!$C$18)</f>
        <v>105.75603993150303</v>
      </c>
      <c r="E70" s="5">
        <f>IFERROR(VLOOKUP(C70,'Elec Wpc'!$D$22:$V$204,19,FALSE),"NA")*(1+'Elec Calculations'!$C$18)</f>
        <v>201.3162149720491</v>
      </c>
      <c r="F70" s="25">
        <f>IFERROR(VLOOKUP(C70,'Elec Wpc'!$D$22:$W$204,20,FALSE),"NA")*MAX(0,E70-D70)</f>
        <v>82.726680458654556</v>
      </c>
      <c r="G70" s="43">
        <f t="shared" si="2"/>
        <v>0.85</v>
      </c>
      <c r="H70" s="43">
        <f>VLOOKUP(MONTH(C70),'Elec Calculations'!$A$39:'Elec Calculations'!$D$50,4,FALSE)</f>
        <v>0.68740999999999997</v>
      </c>
      <c r="I70" s="43">
        <f>'Elec Calculations'!$C$24</f>
        <v>1</v>
      </c>
      <c r="J70" s="43">
        <f t="shared" ref="J70:J129" si="3">G70*F70*H70*I70</f>
        <v>48.337075301971161</v>
      </c>
      <c r="K70" s="26"/>
    </row>
    <row r="71" spans="1:11" x14ac:dyDescent="0.35">
      <c r="A71" s="26"/>
      <c r="B71" s="16" t="s">
        <v>24</v>
      </c>
      <c r="C71" s="12">
        <v>44753</v>
      </c>
      <c r="D71" s="5">
        <f>IFERROR(VLOOKUP(C71,'Elec Wc'!$D$23:$W$1048576,20,FALSE),"NA")*(1+'Elec Calculations'!$C$18)</f>
        <v>95.531958720801015</v>
      </c>
      <c r="E71" s="5">
        <f>IFERROR(VLOOKUP(C71,'Elec Wpc'!$D$22:$V$204,19,FALSE),"NA")*(1+'Elec Calculations'!$C$18)</f>
        <v>205.21530082832857</v>
      </c>
      <c r="F71" s="25">
        <f>IFERROR(VLOOKUP(C71,'Elec Wpc'!$D$22:$W$204,20,FALSE),"NA")*MAX(0,E71-D71)</f>
        <v>94.953141204657115</v>
      </c>
      <c r="G71" s="43">
        <f t="shared" si="2"/>
        <v>0.85</v>
      </c>
      <c r="H71" s="43">
        <f>VLOOKUP(MONTH(C71),'Elec Calculations'!$A$39:'Elec Calculations'!$D$50,4,FALSE)</f>
        <v>0.68740999999999997</v>
      </c>
      <c r="I71" s="43">
        <f>'Elec Calculations'!$C$24</f>
        <v>1</v>
      </c>
      <c r="J71" s="43">
        <f t="shared" si="3"/>
        <v>55.480977976169335</v>
      </c>
      <c r="K71" s="26"/>
    </row>
    <row r="72" spans="1:11" x14ac:dyDescent="0.35">
      <c r="A72" s="26"/>
      <c r="B72" s="16" t="s">
        <v>25</v>
      </c>
      <c r="C72" s="12">
        <v>44754</v>
      </c>
      <c r="D72" s="5">
        <f>IFERROR(VLOOKUP(C72,'Elec Wc'!$D$23:$W$1048576,20,FALSE),"NA")*(1+'Elec Calculations'!$C$18)</f>
        <v>95.531958720801015</v>
      </c>
      <c r="E72" s="5">
        <f>IFERROR(VLOOKUP(C72,'Elec Wpc'!$D$22:$V$204,19,FALSE),"NA")*(1+'Elec Calculations'!$C$18)</f>
        <v>205.21530082832857</v>
      </c>
      <c r="F72" s="25">
        <f>IFERROR(VLOOKUP(C72,'Elec Wpc'!$D$22:$W$204,20,FALSE),"NA")*MAX(0,E72-D72)</f>
        <v>94.953141204657115</v>
      </c>
      <c r="G72" s="43">
        <f t="shared" si="2"/>
        <v>0.85</v>
      </c>
      <c r="H72" s="43">
        <f>VLOOKUP(MONTH(C72),'Elec Calculations'!$A$39:'Elec Calculations'!$D$50,4,FALSE)</f>
        <v>0.68740999999999997</v>
      </c>
      <c r="I72" s="43">
        <f>'Elec Calculations'!$C$24</f>
        <v>1</v>
      </c>
      <c r="J72" s="43">
        <f t="shared" si="3"/>
        <v>55.480977976169335</v>
      </c>
      <c r="K72" s="26"/>
    </row>
    <row r="73" spans="1:11" x14ac:dyDescent="0.35">
      <c r="A73" s="26"/>
      <c r="B73" s="16" t="s">
        <v>26</v>
      </c>
      <c r="C73" s="12">
        <v>44755</v>
      </c>
      <c r="D73" s="5">
        <f>IFERROR(VLOOKUP(C73,'Elec Wc'!$D$23:$W$1048576,20,FALSE),"NA")*(1+'Elec Calculations'!$C$18)</f>
        <v>95.531958720801015</v>
      </c>
      <c r="E73" s="5">
        <f>IFERROR(VLOOKUP(C73,'Elec Wpc'!$D$22:$V$204,19,FALSE),"NA")*(1+'Elec Calculations'!$C$18)</f>
        <v>205.21530082832857</v>
      </c>
      <c r="F73" s="25">
        <f>IFERROR(VLOOKUP(C73,'Elec Wpc'!$D$22:$W$204,20,FALSE),"NA")*MAX(0,E73-D73)</f>
        <v>94.953141204657115</v>
      </c>
      <c r="G73" s="43">
        <f t="shared" si="2"/>
        <v>0.85</v>
      </c>
      <c r="H73" s="43">
        <f>VLOOKUP(MONTH(C73),'Elec Calculations'!$A$39:'Elec Calculations'!$D$50,4,FALSE)</f>
        <v>0.68740999999999997</v>
      </c>
      <c r="I73" s="43">
        <f>'Elec Calculations'!$C$24</f>
        <v>1</v>
      </c>
      <c r="J73" s="43">
        <f t="shared" si="3"/>
        <v>55.480977976169335</v>
      </c>
      <c r="K73" s="26"/>
    </row>
    <row r="74" spans="1:11" x14ac:dyDescent="0.35">
      <c r="A74" s="26"/>
      <c r="B74" s="16" t="s">
        <v>27</v>
      </c>
      <c r="C74" s="12">
        <v>44756</v>
      </c>
      <c r="D74" s="5">
        <f>IFERROR(VLOOKUP(C74,'Elec Wc'!$D$23:$W$1048576,20,FALSE),"NA")*(1+'Elec Calculations'!$C$18)</f>
        <v>95.531958720801015</v>
      </c>
      <c r="E74" s="5">
        <f>IFERROR(VLOOKUP(C74,'Elec Wpc'!$D$22:$V$204,19,FALSE),"NA")*(1+'Elec Calculations'!$C$18)</f>
        <v>205.21530082832857</v>
      </c>
      <c r="F74" s="25">
        <f>IFERROR(VLOOKUP(C74,'Elec Wpc'!$D$22:$W$204,20,FALSE),"NA")*MAX(0,E74-D74)</f>
        <v>94.953141204657115</v>
      </c>
      <c r="G74" s="43">
        <f t="shared" si="2"/>
        <v>0.85</v>
      </c>
      <c r="H74" s="43">
        <f>VLOOKUP(MONTH(C74),'Elec Calculations'!$A$39:'Elec Calculations'!$D$50,4,FALSE)</f>
        <v>0.68740999999999997</v>
      </c>
      <c r="I74" s="43">
        <f>'Elec Calculations'!$C$24</f>
        <v>1</v>
      </c>
      <c r="J74" s="43">
        <f t="shared" si="3"/>
        <v>55.480977976169335</v>
      </c>
      <c r="K74" s="26"/>
    </row>
    <row r="75" spans="1:11" x14ac:dyDescent="0.35">
      <c r="A75" s="26"/>
      <c r="B75" s="16" t="s">
        <v>22</v>
      </c>
      <c r="C75" s="12">
        <v>44757</v>
      </c>
      <c r="D75" s="5">
        <f>IFERROR(VLOOKUP(C75,'Elec Wc'!$D$23:$W$1048576,20,FALSE),"NA")*(1+'Elec Calculations'!$C$18)</f>
        <v>95.531958720801015</v>
      </c>
      <c r="E75" s="5">
        <f>IFERROR(VLOOKUP(C75,'Elec Wpc'!$D$22:$V$204,19,FALSE),"NA")*(1+'Elec Calculations'!$C$18)</f>
        <v>205.21530082832857</v>
      </c>
      <c r="F75" s="25">
        <f>IFERROR(VLOOKUP(C75,'Elec Wpc'!$D$22:$W$204,20,FALSE),"NA")*MAX(0,E75-D75)</f>
        <v>94.953141204657115</v>
      </c>
      <c r="G75" s="43">
        <f t="shared" si="2"/>
        <v>0.85</v>
      </c>
      <c r="H75" s="43">
        <f>VLOOKUP(MONTH(C75),'Elec Calculations'!$A$39:'Elec Calculations'!$D$50,4,FALSE)</f>
        <v>0.68740999999999997</v>
      </c>
      <c r="I75" s="43">
        <f>'Elec Calculations'!$C$24</f>
        <v>1</v>
      </c>
      <c r="J75" s="43">
        <f t="shared" si="3"/>
        <v>55.480977976169335</v>
      </c>
      <c r="K75" s="26"/>
    </row>
    <row r="76" spans="1:11" x14ac:dyDescent="0.35">
      <c r="A76" s="26"/>
      <c r="B76" s="16" t="s">
        <v>24</v>
      </c>
      <c r="C76" s="12">
        <v>44760</v>
      </c>
      <c r="D76" s="5">
        <f>IFERROR(VLOOKUP(C76,'Elec Wc'!$D$23:$W$1048576,20,FALSE),"NA")*(1+'Elec Calculations'!$C$18)</f>
        <v>86.299844286609641</v>
      </c>
      <c r="E76" s="5">
        <f>IFERROR(VLOOKUP(C76,'Elec Wpc'!$D$22:$V$204,19,FALSE),"NA")*(1+'Elec Calculations'!$C$18)</f>
        <v>209.0430627199874</v>
      </c>
      <c r="F76" s="25">
        <f>IFERROR(VLOOKUP(C76,'Elec Wpc'!$D$22:$W$204,20,FALSE),"NA")*MAX(0,E76-D76)</f>
        <v>106.2591085198043</v>
      </c>
      <c r="G76" s="43">
        <f t="shared" si="2"/>
        <v>0.85</v>
      </c>
      <c r="H76" s="43">
        <f>VLOOKUP(MONTH(C76),'Elec Calculations'!$A$39:'Elec Calculations'!$D$50,4,FALSE)</f>
        <v>0.68740999999999997</v>
      </c>
      <c r="I76" s="43">
        <f>'Elec Calculations'!$C$24</f>
        <v>1</v>
      </c>
      <c r="J76" s="43">
        <f t="shared" si="3"/>
        <v>62.08703771945887</v>
      </c>
      <c r="K76" s="26"/>
    </row>
    <row r="77" spans="1:11" x14ac:dyDescent="0.35">
      <c r="A77" s="26"/>
      <c r="B77" s="16" t="s">
        <v>25</v>
      </c>
      <c r="C77" s="12">
        <v>44761</v>
      </c>
      <c r="D77" s="5">
        <f>IFERROR(VLOOKUP(C77,'Elec Wc'!$D$23:$W$1048576,20,FALSE),"NA")*(1+'Elec Calculations'!$C$18)</f>
        <v>86.299844286609641</v>
      </c>
      <c r="E77" s="5">
        <f>IFERROR(VLOOKUP(C77,'Elec Wpc'!$D$22:$V$204,19,FALSE),"NA")*(1+'Elec Calculations'!$C$18)</f>
        <v>209.0430627199874</v>
      </c>
      <c r="F77" s="25">
        <f>IFERROR(VLOOKUP(C77,'Elec Wpc'!$D$22:$W$204,20,FALSE),"NA")*MAX(0,E77-D77)</f>
        <v>106.2591085198043</v>
      </c>
      <c r="G77" s="43">
        <f t="shared" si="2"/>
        <v>0.85</v>
      </c>
      <c r="H77" s="43">
        <f>VLOOKUP(MONTH(C77),'Elec Calculations'!$A$39:'Elec Calculations'!$D$50,4,FALSE)</f>
        <v>0.68740999999999997</v>
      </c>
      <c r="I77" s="43">
        <f>'Elec Calculations'!$C$24</f>
        <v>1</v>
      </c>
      <c r="J77" s="43">
        <f t="shared" si="3"/>
        <v>62.08703771945887</v>
      </c>
      <c r="K77" s="26"/>
    </row>
    <row r="78" spans="1:11" x14ac:dyDescent="0.35">
      <c r="A78" s="26"/>
      <c r="B78" s="16" t="s">
        <v>26</v>
      </c>
      <c r="C78" s="12">
        <v>44762</v>
      </c>
      <c r="D78" s="5">
        <f>IFERROR(VLOOKUP(C78,'Elec Wc'!$D$23:$W$1048576,20,FALSE),"NA")*(1+'Elec Calculations'!$C$18)</f>
        <v>86.299844286609641</v>
      </c>
      <c r="E78" s="5">
        <f>IFERROR(VLOOKUP(C78,'Elec Wpc'!$D$22:$V$204,19,FALSE),"NA")*(1+'Elec Calculations'!$C$18)</f>
        <v>209.0430627199874</v>
      </c>
      <c r="F78" s="25">
        <f>IFERROR(VLOOKUP(C78,'Elec Wpc'!$D$22:$W$204,20,FALSE),"NA")*MAX(0,E78-D78)</f>
        <v>106.25910851980431</v>
      </c>
      <c r="G78" s="43">
        <f t="shared" si="2"/>
        <v>0.85</v>
      </c>
      <c r="H78" s="43">
        <f>VLOOKUP(MONTH(C78),'Elec Calculations'!$A$39:'Elec Calculations'!$D$50,4,FALSE)</f>
        <v>0.68740999999999997</v>
      </c>
      <c r="I78" s="43">
        <f>'Elec Calculations'!$C$24</f>
        <v>1</v>
      </c>
      <c r="J78" s="43">
        <f t="shared" si="3"/>
        <v>62.087037719458877</v>
      </c>
      <c r="K78" s="26"/>
    </row>
    <row r="79" spans="1:11" x14ac:dyDescent="0.35">
      <c r="A79" s="26"/>
      <c r="B79" s="16" t="s">
        <v>27</v>
      </c>
      <c r="C79" s="12">
        <v>44763</v>
      </c>
      <c r="D79" s="5">
        <f>IFERROR(VLOOKUP(C79,'Elec Wc'!$D$23:$W$1048576,20,FALSE),"NA")*(1+'Elec Calculations'!$C$18)</f>
        <v>86.299844286609641</v>
      </c>
      <c r="E79" s="5">
        <f>IFERROR(VLOOKUP(C79,'Elec Wpc'!$D$22:$V$204,19,FALSE),"NA")*(1+'Elec Calculations'!$C$18)</f>
        <v>209.0430627199874</v>
      </c>
      <c r="F79" s="25">
        <f>IFERROR(VLOOKUP(C79,'Elec Wpc'!$D$22:$W$204,20,FALSE),"NA")*MAX(0,E79-D79)</f>
        <v>106.25910851980431</v>
      </c>
      <c r="G79" s="43">
        <f t="shared" si="2"/>
        <v>0.85</v>
      </c>
      <c r="H79" s="43">
        <f>VLOOKUP(MONTH(C79),'Elec Calculations'!$A$39:'Elec Calculations'!$D$50,4,FALSE)</f>
        <v>0.68740999999999997</v>
      </c>
      <c r="I79" s="43">
        <f>'Elec Calculations'!$C$24</f>
        <v>1</v>
      </c>
      <c r="J79" s="43">
        <f t="shared" si="3"/>
        <v>62.087037719458877</v>
      </c>
      <c r="K79" s="26"/>
    </row>
    <row r="80" spans="1:11" x14ac:dyDescent="0.35">
      <c r="A80" s="26"/>
      <c r="B80" s="16" t="s">
        <v>22</v>
      </c>
      <c r="C80" s="12">
        <v>44764</v>
      </c>
      <c r="D80" s="5">
        <f>IFERROR(VLOOKUP(C80,'Elec Wc'!$D$23:$W$1048576,20,FALSE),"NA")*(1+'Elec Calculations'!$C$18)</f>
        <v>86.299844286609641</v>
      </c>
      <c r="E80" s="5">
        <f>IFERROR(VLOOKUP(C80,'Elec Wpc'!$D$22:$V$204,19,FALSE),"NA")*(1+'Elec Calculations'!$C$18)</f>
        <v>209.0430627199874</v>
      </c>
      <c r="F80" s="25">
        <f>IFERROR(VLOOKUP(C80,'Elec Wpc'!$D$22:$W$204,20,FALSE),"NA")*MAX(0,E80-D80)</f>
        <v>106.25910851980431</v>
      </c>
      <c r="G80" s="43">
        <f t="shared" si="2"/>
        <v>0.85</v>
      </c>
      <c r="H80" s="43">
        <f>VLOOKUP(MONTH(C80),'Elec Calculations'!$A$39:'Elec Calculations'!$D$50,4,FALSE)</f>
        <v>0.68740999999999997</v>
      </c>
      <c r="I80" s="43">
        <f>'Elec Calculations'!$C$24</f>
        <v>1</v>
      </c>
      <c r="J80" s="43">
        <f t="shared" si="3"/>
        <v>62.087037719458877</v>
      </c>
      <c r="K80" s="26"/>
    </row>
    <row r="81" spans="1:11" x14ac:dyDescent="0.35">
      <c r="A81" s="26"/>
      <c r="B81" s="16" t="s">
        <v>24</v>
      </c>
      <c r="C81" s="12">
        <v>44767</v>
      </c>
      <c r="D81" s="5">
        <f>IFERROR(VLOOKUP(C81,'Elec Wc'!$D$23:$W$1048576,20,FALSE),"NA")*(1+'Elec Calculations'!$C$18)</f>
        <v>77.680749911632688</v>
      </c>
      <c r="E81" s="5">
        <f>IFERROR(VLOOKUP(C81,'Elec Wpc'!$D$22:$V$204,19,FALSE),"NA")*(1+'Elec Calculations'!$C$18)</f>
        <v>212.80143995490255</v>
      </c>
      <c r="F81" s="25">
        <f>IFERROR(VLOOKUP(C81,'Elec Wpc'!$D$22:$W$204,20,FALSE),"NA")*MAX(0,E81-D81)</f>
        <v>116.97431638043405</v>
      </c>
      <c r="G81" s="43">
        <f t="shared" si="2"/>
        <v>0.85</v>
      </c>
      <c r="H81" s="43">
        <f>VLOOKUP(MONTH(C81),'Elec Calculations'!$A$39:'Elec Calculations'!$D$50,4,FALSE)</f>
        <v>0.68740999999999997</v>
      </c>
      <c r="I81" s="43">
        <f>'Elec Calculations'!$C$24</f>
        <v>1</v>
      </c>
      <c r="J81" s="43">
        <f t="shared" si="3"/>
        <v>68.347917599613041</v>
      </c>
      <c r="K81" s="26"/>
    </row>
    <row r="82" spans="1:11" x14ac:dyDescent="0.35">
      <c r="A82" s="26"/>
      <c r="B82" s="16" t="s">
        <v>25</v>
      </c>
      <c r="C82" s="12">
        <v>44768</v>
      </c>
      <c r="D82" s="5">
        <f>IFERROR(VLOOKUP(C82,'Elec Wc'!$D$23:$W$1048576,20,FALSE),"NA")*(1+'Elec Calculations'!$C$18)</f>
        <v>77.680749911632688</v>
      </c>
      <c r="E82" s="5">
        <f>IFERROR(VLOOKUP(C82,'Elec Wpc'!$D$22:$V$204,19,FALSE),"NA")*(1+'Elec Calculations'!$C$18)</f>
        <v>212.80143995490255</v>
      </c>
      <c r="F82" s="25">
        <f>IFERROR(VLOOKUP(C82,'Elec Wpc'!$D$22:$W$204,20,FALSE),"NA")*MAX(0,E82-D82)</f>
        <v>116.97431638043402</v>
      </c>
      <c r="G82" s="43">
        <f t="shared" si="2"/>
        <v>0.85</v>
      </c>
      <c r="H82" s="43">
        <f>VLOOKUP(MONTH(C82),'Elec Calculations'!$A$39:'Elec Calculations'!$D$50,4,FALSE)</f>
        <v>0.68740999999999997</v>
      </c>
      <c r="I82" s="43">
        <f>'Elec Calculations'!$C$24</f>
        <v>1</v>
      </c>
      <c r="J82" s="43">
        <f t="shared" si="3"/>
        <v>68.347917599613027</v>
      </c>
      <c r="K82" s="26"/>
    </row>
    <row r="83" spans="1:11" x14ac:dyDescent="0.35">
      <c r="A83" s="26"/>
      <c r="B83" s="16" t="s">
        <v>26</v>
      </c>
      <c r="C83" s="12">
        <v>44769</v>
      </c>
      <c r="D83" s="5">
        <f>IFERROR(VLOOKUP(C83,'Elec Wc'!$D$23:$W$1048576,20,FALSE),"NA")*(1+'Elec Calculations'!$C$18)</f>
        <v>77.680749911632688</v>
      </c>
      <c r="E83" s="5">
        <f>IFERROR(VLOOKUP(C83,'Elec Wpc'!$D$22:$V$204,19,FALSE),"NA")*(1+'Elec Calculations'!$C$18)</f>
        <v>212.80143995490255</v>
      </c>
      <c r="F83" s="25">
        <f>IFERROR(VLOOKUP(C83,'Elec Wpc'!$D$22:$W$204,20,FALSE),"NA")*MAX(0,E83-D83)</f>
        <v>116.97431638043402</v>
      </c>
      <c r="G83" s="43">
        <f t="shared" si="2"/>
        <v>0.85</v>
      </c>
      <c r="H83" s="43">
        <f>VLOOKUP(MONTH(C83),'Elec Calculations'!$A$39:'Elec Calculations'!$D$50,4,FALSE)</f>
        <v>0.68740999999999997</v>
      </c>
      <c r="I83" s="43">
        <f>'Elec Calculations'!$C$24</f>
        <v>1</v>
      </c>
      <c r="J83" s="43">
        <f t="shared" si="3"/>
        <v>68.347917599613027</v>
      </c>
      <c r="K83" s="26"/>
    </row>
    <row r="84" spans="1:11" x14ac:dyDescent="0.35">
      <c r="A84" s="26"/>
      <c r="B84" s="16" t="s">
        <v>27</v>
      </c>
      <c r="C84" s="12">
        <v>44770</v>
      </c>
      <c r="D84" s="5">
        <f>IFERROR(VLOOKUP(C84,'Elec Wc'!$D$23:$W$1048576,20,FALSE),"NA")*(1+'Elec Calculations'!$C$18)</f>
        <v>77.680749911632688</v>
      </c>
      <c r="E84" s="5">
        <f>IFERROR(VLOOKUP(C84,'Elec Wpc'!$D$22:$V$204,19,FALSE),"NA")*(1+'Elec Calculations'!$C$18)</f>
        <v>212.80143995490255</v>
      </c>
      <c r="F84" s="25">
        <f>IFERROR(VLOOKUP(C84,'Elec Wpc'!$D$22:$W$204,20,FALSE),"NA")*MAX(0,E84-D84)</f>
        <v>116.97431638043405</v>
      </c>
      <c r="G84" s="43">
        <f t="shared" si="2"/>
        <v>0.85</v>
      </c>
      <c r="H84" s="43">
        <f>VLOOKUP(MONTH(C84),'Elec Calculations'!$A$39:'Elec Calculations'!$D$50,4,FALSE)</f>
        <v>0.68740999999999997</v>
      </c>
      <c r="I84" s="43">
        <f>'Elec Calculations'!$C$24</f>
        <v>1</v>
      </c>
      <c r="J84" s="43">
        <f t="shared" si="3"/>
        <v>68.347917599613041</v>
      </c>
      <c r="K84" s="26"/>
    </row>
    <row r="85" spans="1:11" x14ac:dyDescent="0.35">
      <c r="A85" s="26"/>
      <c r="B85" s="16" t="s">
        <v>22</v>
      </c>
      <c r="C85" s="12">
        <v>44771</v>
      </c>
      <c r="D85" s="5">
        <f>IFERROR(VLOOKUP(C85,'Elec Wc'!$D$23:$W$1048576,20,FALSE),"NA")*(1+'Elec Calculations'!$C$18)</f>
        <v>77.680749911632688</v>
      </c>
      <c r="E85" s="5">
        <f>IFERROR(VLOOKUP(C85,'Elec Wpc'!$D$22:$V$204,19,FALSE),"NA")*(1+'Elec Calculations'!$C$18)</f>
        <v>212.80143995490255</v>
      </c>
      <c r="F85" s="25">
        <f>IFERROR(VLOOKUP(C85,'Elec Wpc'!$D$22:$W$204,20,FALSE),"NA")*MAX(0,E85-D85)</f>
        <v>116.97431638043405</v>
      </c>
      <c r="G85" s="43">
        <f t="shared" si="2"/>
        <v>0.85</v>
      </c>
      <c r="H85" s="43">
        <f>VLOOKUP(MONTH(C85),'Elec Calculations'!$A$39:'Elec Calculations'!$D$50,4,FALSE)</f>
        <v>0.68740999999999997</v>
      </c>
      <c r="I85" s="43">
        <f>'Elec Calculations'!$C$24</f>
        <v>1</v>
      </c>
      <c r="J85" s="43">
        <f t="shared" si="3"/>
        <v>68.347917599613041</v>
      </c>
      <c r="K85" s="26"/>
    </row>
    <row r="86" spans="1:11" x14ac:dyDescent="0.35">
      <c r="A86" s="26"/>
      <c r="B86" s="16" t="s">
        <v>24</v>
      </c>
      <c r="C86" s="12">
        <v>44774</v>
      </c>
      <c r="D86" s="5">
        <f>IFERROR(VLOOKUP(C86,'Elec Wc'!$D$23:$W$1048576,20,FALSE),"NA")*(1+'Elec Calculations'!$C$18)</f>
        <v>69.205671241973761</v>
      </c>
      <c r="E86" s="5">
        <f>IFERROR(VLOOKUP(C86,'Elec Wpc'!$D$22:$V$204,19,FALSE),"NA")*(1+'Elec Calculations'!$C$18)</f>
        <v>216.49230216550316</v>
      </c>
      <c r="F86" s="25">
        <f>IFERROR(VLOOKUP(C86,'Elec Wpc'!$D$22:$W$204,20,FALSE),"NA")*MAX(0,E86-D86)</f>
        <v>127.50640156396452</v>
      </c>
      <c r="G86" s="43">
        <f t="shared" si="2"/>
        <v>0.85</v>
      </c>
      <c r="H86" s="43">
        <f>VLOOKUP(MONTH(C86),'Elec Calculations'!$A$39:'Elec Calculations'!$D$50,4,FALSE)</f>
        <v>0.71226999999999996</v>
      </c>
      <c r="I86" s="43">
        <f>'Elec Calculations'!$C$24</f>
        <v>1</v>
      </c>
      <c r="J86" s="43">
        <f t="shared" si="3"/>
        <v>77.196136945670247</v>
      </c>
      <c r="K86" s="26"/>
    </row>
    <row r="87" spans="1:11" x14ac:dyDescent="0.35">
      <c r="A87" s="26"/>
      <c r="B87" s="16" t="s">
        <v>25</v>
      </c>
      <c r="C87" s="12">
        <v>44775</v>
      </c>
      <c r="D87" s="5">
        <f>IFERROR(VLOOKUP(C87,'Elec Wc'!$D$23:$W$1048576,20,FALSE),"NA")*(1+'Elec Calculations'!$C$18)</f>
        <v>69.205671241973761</v>
      </c>
      <c r="E87" s="5">
        <f>IFERROR(VLOOKUP(C87,'Elec Wpc'!$D$22:$V$204,19,FALSE),"NA")*(1+'Elec Calculations'!$C$18)</f>
        <v>216.49230216550316</v>
      </c>
      <c r="F87" s="25">
        <f>IFERROR(VLOOKUP(C87,'Elec Wpc'!$D$22:$W$204,20,FALSE),"NA")*MAX(0,E87-D87)</f>
        <v>127.50640156396449</v>
      </c>
      <c r="G87" s="43">
        <f t="shared" si="2"/>
        <v>0.85</v>
      </c>
      <c r="H87" s="43">
        <f>VLOOKUP(MONTH(C87),'Elec Calculations'!$A$39:'Elec Calculations'!$D$50,4,FALSE)</f>
        <v>0.71226999999999996</v>
      </c>
      <c r="I87" s="43">
        <f>'Elec Calculations'!$C$24</f>
        <v>1</v>
      </c>
      <c r="J87" s="43">
        <f t="shared" si="3"/>
        <v>77.196136945670233</v>
      </c>
      <c r="K87" s="26"/>
    </row>
    <row r="88" spans="1:11" x14ac:dyDescent="0.35">
      <c r="A88" s="26"/>
      <c r="B88" s="16" t="s">
        <v>26</v>
      </c>
      <c r="C88" s="12">
        <v>44776</v>
      </c>
      <c r="D88" s="5">
        <f>IFERROR(VLOOKUP(C88,'Elec Wc'!$D$23:$W$1048576,20,FALSE),"NA")*(1+'Elec Calculations'!$C$18)</f>
        <v>69.205671241973761</v>
      </c>
      <c r="E88" s="5">
        <f>IFERROR(VLOOKUP(C88,'Elec Wpc'!$D$22:$V$204,19,FALSE),"NA")*(1+'Elec Calculations'!$C$18)</f>
        <v>216.49230216550316</v>
      </c>
      <c r="F88" s="25">
        <f>IFERROR(VLOOKUP(C88,'Elec Wpc'!$D$22:$W$204,20,FALSE),"NA")*MAX(0,E88-D88)</f>
        <v>127.50640156396449</v>
      </c>
      <c r="G88" s="43">
        <f t="shared" si="2"/>
        <v>0.85</v>
      </c>
      <c r="H88" s="43">
        <f>VLOOKUP(MONTH(C88),'Elec Calculations'!$A$39:'Elec Calculations'!$D$50,4,FALSE)</f>
        <v>0.71226999999999996</v>
      </c>
      <c r="I88" s="43">
        <f>'Elec Calculations'!$C$24</f>
        <v>1</v>
      </c>
      <c r="J88" s="43">
        <f t="shared" si="3"/>
        <v>77.196136945670233</v>
      </c>
      <c r="K88" s="26"/>
    </row>
    <row r="89" spans="1:11" x14ac:dyDescent="0.35">
      <c r="A89" s="26"/>
      <c r="B89" s="16" t="s">
        <v>27</v>
      </c>
      <c r="C89" s="12">
        <v>44777</v>
      </c>
      <c r="D89" s="5">
        <f>IFERROR(VLOOKUP(C89,'Elec Wc'!$D$23:$W$1048576,20,FALSE),"NA")*(1+'Elec Calculations'!$C$18)</f>
        <v>69.205671241973761</v>
      </c>
      <c r="E89" s="5">
        <f>IFERROR(VLOOKUP(C89,'Elec Wpc'!$D$22:$V$204,19,FALSE),"NA")*(1+'Elec Calculations'!$C$18)</f>
        <v>216.49230216550316</v>
      </c>
      <c r="F89" s="25">
        <f>IFERROR(VLOOKUP(C89,'Elec Wpc'!$D$22:$W$204,20,FALSE),"NA")*MAX(0,E89-D89)</f>
        <v>127.50640156396449</v>
      </c>
      <c r="G89" s="43">
        <f t="shared" si="2"/>
        <v>0.85</v>
      </c>
      <c r="H89" s="43">
        <f>VLOOKUP(MONTH(C89),'Elec Calculations'!$A$39:'Elec Calculations'!$D$50,4,FALSE)</f>
        <v>0.71226999999999996</v>
      </c>
      <c r="I89" s="43">
        <f>'Elec Calculations'!$C$24</f>
        <v>1</v>
      </c>
      <c r="J89" s="43">
        <f t="shared" si="3"/>
        <v>77.196136945670233</v>
      </c>
      <c r="K89" s="26"/>
    </row>
    <row r="90" spans="1:11" x14ac:dyDescent="0.35">
      <c r="A90" s="26"/>
      <c r="B90" s="16" t="s">
        <v>22</v>
      </c>
      <c r="C90" s="12">
        <v>44778</v>
      </c>
      <c r="D90" s="5">
        <f>IFERROR(VLOOKUP(C90,'Elec Wc'!$D$23:$W$1048576,20,FALSE),"NA")*(1+'Elec Calculations'!$C$18)</f>
        <v>69.205671241973761</v>
      </c>
      <c r="E90" s="5">
        <f>IFERROR(VLOOKUP(C90,'Elec Wpc'!$D$22:$V$204,19,FALSE),"NA")*(1+'Elec Calculations'!$C$18)</f>
        <v>216.49230216550316</v>
      </c>
      <c r="F90" s="25">
        <f>IFERROR(VLOOKUP(C90,'Elec Wpc'!$D$22:$W$204,20,FALSE),"NA")*MAX(0,E90-D90)</f>
        <v>127.50640156396452</v>
      </c>
      <c r="G90" s="43">
        <f t="shared" si="2"/>
        <v>0.85</v>
      </c>
      <c r="H90" s="43">
        <f>VLOOKUP(MONTH(C90),'Elec Calculations'!$A$39:'Elec Calculations'!$D$50,4,FALSE)</f>
        <v>0.71226999999999996</v>
      </c>
      <c r="I90" s="43">
        <f>'Elec Calculations'!$C$24</f>
        <v>1</v>
      </c>
      <c r="J90" s="43">
        <f t="shared" si="3"/>
        <v>77.196136945670247</v>
      </c>
      <c r="K90" s="26"/>
    </row>
    <row r="91" spans="1:11" x14ac:dyDescent="0.35">
      <c r="A91" s="26"/>
      <c r="B91" s="16" t="s">
        <v>24</v>
      </c>
      <c r="C91" s="12">
        <v>44781</v>
      </c>
      <c r="D91" s="5">
        <f>IFERROR(VLOOKUP(C91,'Elec Wc'!$D$23:$W$1048576,20,FALSE),"NA")*(1+'Elec Calculations'!$C$18)</f>
        <v>58.544844787155355</v>
      </c>
      <c r="E91" s="5">
        <f>IFERROR(VLOOKUP(C91,'Elec Wpc'!$D$22:$V$204,19,FALSE),"NA")*(1+'Elec Calculations'!$C$18)</f>
        <v>220.11745241004874</v>
      </c>
      <c r="F91" s="25">
        <f>IFERROR(VLOOKUP(C91,'Elec Wpc'!$D$22:$W$204,20,FALSE),"NA")*MAX(0,E91-D91)</f>
        <v>139.87380701238084</v>
      </c>
      <c r="G91" s="43">
        <f t="shared" si="2"/>
        <v>0.85</v>
      </c>
      <c r="H91" s="43">
        <f>VLOOKUP(MONTH(C91),'Elec Calculations'!$A$39:'Elec Calculations'!$D$50,4,FALSE)</f>
        <v>0.71226999999999996</v>
      </c>
      <c r="I91" s="43">
        <f>'Elec Calculations'!$C$24</f>
        <v>1</v>
      </c>
      <c r="J91" s="43">
        <f t="shared" si="3"/>
        <v>84.683729042602224</v>
      </c>
      <c r="K91" s="26"/>
    </row>
    <row r="92" spans="1:11" x14ac:dyDescent="0.35">
      <c r="A92" s="26"/>
      <c r="B92" s="16" t="s">
        <v>25</v>
      </c>
      <c r="C92" s="12">
        <v>44782</v>
      </c>
      <c r="D92" s="5">
        <f>IFERROR(VLOOKUP(C92,'Elec Wc'!$D$23:$W$1048576,20,FALSE),"NA")*(1+'Elec Calculations'!$C$18)</f>
        <v>58.544844787155355</v>
      </c>
      <c r="E92" s="5">
        <f>IFERROR(VLOOKUP(C92,'Elec Wpc'!$D$22:$V$204,19,FALSE),"NA")*(1+'Elec Calculations'!$C$18)</f>
        <v>220.11745241004874</v>
      </c>
      <c r="F92" s="25">
        <f>IFERROR(VLOOKUP(C92,'Elec Wpc'!$D$22:$W$204,20,FALSE),"NA")*MAX(0,E92-D92)</f>
        <v>139.87380701238084</v>
      </c>
      <c r="G92" s="43">
        <f t="shared" si="2"/>
        <v>0.85</v>
      </c>
      <c r="H92" s="43">
        <f>VLOOKUP(MONTH(C92),'Elec Calculations'!$A$39:'Elec Calculations'!$D$50,4,FALSE)</f>
        <v>0.71226999999999996</v>
      </c>
      <c r="I92" s="43">
        <f>'Elec Calculations'!$C$24</f>
        <v>1</v>
      </c>
      <c r="J92" s="43">
        <f t="shared" si="3"/>
        <v>84.683729042602224</v>
      </c>
      <c r="K92" s="26"/>
    </row>
    <row r="93" spans="1:11" x14ac:dyDescent="0.35">
      <c r="A93" s="26"/>
      <c r="B93" s="16" t="s">
        <v>26</v>
      </c>
      <c r="C93" s="12">
        <v>44783</v>
      </c>
      <c r="D93" s="5">
        <f>IFERROR(VLOOKUP(C93,'Elec Wc'!$D$23:$W$1048576,20,FALSE),"NA")*(1+'Elec Calculations'!$C$18)</f>
        <v>58.544844787155355</v>
      </c>
      <c r="E93" s="5">
        <f>IFERROR(VLOOKUP(C93,'Elec Wpc'!$D$22:$V$204,19,FALSE),"NA")*(1+'Elec Calculations'!$C$18)</f>
        <v>220.11745241004874</v>
      </c>
      <c r="F93" s="25">
        <f>IFERROR(VLOOKUP(C93,'Elec Wpc'!$D$22:$W$204,20,FALSE),"NA")*MAX(0,E93-D93)</f>
        <v>139.87380701238084</v>
      </c>
      <c r="G93" s="43">
        <f t="shared" si="2"/>
        <v>0.85</v>
      </c>
      <c r="H93" s="43">
        <f>VLOOKUP(MONTH(C93),'Elec Calculations'!$A$39:'Elec Calculations'!$D$50,4,FALSE)</f>
        <v>0.71226999999999996</v>
      </c>
      <c r="I93" s="43">
        <f>'Elec Calculations'!$C$24</f>
        <v>1</v>
      </c>
      <c r="J93" s="43">
        <f t="shared" si="3"/>
        <v>84.683729042602224</v>
      </c>
      <c r="K93" s="26"/>
    </row>
    <row r="94" spans="1:11" x14ac:dyDescent="0.35">
      <c r="A94" s="26"/>
      <c r="B94" s="16" t="s">
        <v>27</v>
      </c>
      <c r="C94" s="12">
        <v>44784</v>
      </c>
      <c r="D94" s="5">
        <f>IFERROR(VLOOKUP(C94,'Elec Wc'!$D$23:$W$1048576,20,FALSE),"NA")*(1+'Elec Calculations'!$C$18)</f>
        <v>58.544844787155355</v>
      </c>
      <c r="E94" s="5">
        <f>IFERROR(VLOOKUP(C94,'Elec Wpc'!$D$22:$V$204,19,FALSE),"NA")*(1+'Elec Calculations'!$C$18)</f>
        <v>220.11745241004874</v>
      </c>
      <c r="F94" s="25">
        <f>IFERROR(VLOOKUP(C94,'Elec Wpc'!$D$22:$W$204,20,FALSE),"NA")*MAX(0,E94-D94)</f>
        <v>139.87380701238084</v>
      </c>
      <c r="G94" s="43">
        <f t="shared" si="2"/>
        <v>0.85</v>
      </c>
      <c r="H94" s="43">
        <f>VLOOKUP(MONTH(C94),'Elec Calculations'!$A$39:'Elec Calculations'!$D$50,4,FALSE)</f>
        <v>0.71226999999999996</v>
      </c>
      <c r="I94" s="43">
        <f>'Elec Calculations'!$C$24</f>
        <v>1</v>
      </c>
      <c r="J94" s="43">
        <f t="shared" si="3"/>
        <v>84.683729042602224</v>
      </c>
      <c r="K94" s="26"/>
    </row>
    <row r="95" spans="1:11" x14ac:dyDescent="0.35">
      <c r="A95" s="26"/>
      <c r="B95" s="16" t="s">
        <v>22</v>
      </c>
      <c r="C95" s="12">
        <v>44785</v>
      </c>
      <c r="D95" s="5">
        <f>IFERROR(VLOOKUP(C95,'Elec Wc'!$D$23:$W$1048576,20,FALSE),"NA")*(1+'Elec Calculations'!$C$18)</f>
        <v>58.544844787155355</v>
      </c>
      <c r="E95" s="5">
        <f>IFERROR(VLOOKUP(C95,'Elec Wpc'!$D$22:$V$204,19,FALSE),"NA")*(1+'Elec Calculations'!$C$18)</f>
        <v>220.11745241004874</v>
      </c>
      <c r="F95" s="25">
        <f>IFERROR(VLOOKUP(C95,'Elec Wpc'!$D$22:$W$204,20,FALSE),"NA")*MAX(0,E95-D95)</f>
        <v>139.87380701238084</v>
      </c>
      <c r="G95" s="43">
        <f t="shared" si="2"/>
        <v>0.85</v>
      </c>
      <c r="H95" s="43">
        <f>VLOOKUP(MONTH(C95),'Elec Calculations'!$A$39:'Elec Calculations'!$D$50,4,FALSE)</f>
        <v>0.71226999999999996</v>
      </c>
      <c r="I95" s="43">
        <f>'Elec Calculations'!$C$24</f>
        <v>1</v>
      </c>
      <c r="J95" s="43">
        <f t="shared" si="3"/>
        <v>84.683729042602224</v>
      </c>
      <c r="K95" s="26"/>
    </row>
    <row r="96" spans="1:11" x14ac:dyDescent="0.35">
      <c r="A96" s="26"/>
      <c r="B96" s="16" t="s">
        <v>24</v>
      </c>
      <c r="C96" s="12">
        <v>44788</v>
      </c>
      <c r="D96" s="5">
        <f>IFERROR(VLOOKUP(C96,'Elec Wc'!$D$23:$W$1048576,20,FALSE),"NA")*(1+'Elec Calculations'!$C$18)</f>
        <v>60.462524608116169</v>
      </c>
      <c r="E96" s="5">
        <f>IFERROR(VLOOKUP(C96,'Elec Wpc'!$D$22:$V$204,19,FALSE),"NA")*(1+'Elec Calculations'!$C$18)</f>
        <v>223.67863010972258</v>
      </c>
      <c r="F96" s="25">
        <f>IFERROR(VLOOKUP(C96,'Elec Wpc'!$D$22:$W$204,20,FALSE),"NA")*MAX(0,E96-D96)</f>
        <v>141.29658720077086</v>
      </c>
      <c r="G96" s="43">
        <f t="shared" si="2"/>
        <v>0.85</v>
      </c>
      <c r="H96" s="43">
        <f>VLOOKUP(MONTH(C96),'Elec Calculations'!$A$39:'Elec Calculations'!$D$50,4,FALSE)</f>
        <v>0.71226999999999996</v>
      </c>
      <c r="I96" s="43">
        <f>'Elec Calculations'!$C$24</f>
        <v>1</v>
      </c>
      <c r="J96" s="43">
        <f t="shared" si="3"/>
        <v>85.545122140669093</v>
      </c>
      <c r="K96" s="26"/>
    </row>
    <row r="97" spans="1:11" x14ac:dyDescent="0.35">
      <c r="A97" s="26"/>
      <c r="B97" s="16" t="s">
        <v>25</v>
      </c>
      <c r="C97" s="12">
        <v>44789</v>
      </c>
      <c r="D97" s="5">
        <f>IFERROR(VLOOKUP(C97,'Elec Wc'!$D$23:$W$1048576,20,FALSE),"NA")*(1+'Elec Calculations'!$C$18)</f>
        <v>60.462524608116169</v>
      </c>
      <c r="E97" s="5">
        <f>IFERROR(VLOOKUP(C97,'Elec Wpc'!$D$22:$V$204,19,FALSE),"NA")*(1+'Elec Calculations'!$C$18)</f>
        <v>223.67863010972258</v>
      </c>
      <c r="F97" s="25">
        <f>IFERROR(VLOOKUP(C97,'Elec Wpc'!$D$22:$W$204,20,FALSE),"NA")*MAX(0,E97-D97)</f>
        <v>141.29658720077086</v>
      </c>
      <c r="G97" s="43">
        <f t="shared" si="2"/>
        <v>0.85</v>
      </c>
      <c r="H97" s="43">
        <f>VLOOKUP(MONTH(C97),'Elec Calculations'!$A$39:'Elec Calculations'!$D$50,4,FALSE)</f>
        <v>0.71226999999999996</v>
      </c>
      <c r="I97" s="43">
        <f>'Elec Calculations'!$C$24</f>
        <v>1</v>
      </c>
      <c r="J97" s="43">
        <f t="shared" si="3"/>
        <v>85.545122140669093</v>
      </c>
      <c r="K97" s="26"/>
    </row>
    <row r="98" spans="1:11" x14ac:dyDescent="0.35">
      <c r="A98" s="26"/>
      <c r="B98" s="16" t="s">
        <v>26</v>
      </c>
      <c r="C98" s="12">
        <v>44790</v>
      </c>
      <c r="D98" s="5">
        <f>IFERROR(VLOOKUP(C98,'Elec Wc'!$D$23:$W$1048576,20,FALSE),"NA")*(1+'Elec Calculations'!$C$18)</f>
        <v>60.462524608116169</v>
      </c>
      <c r="E98" s="5">
        <f>IFERROR(VLOOKUP(C98,'Elec Wpc'!$D$22:$V$204,19,FALSE),"NA")*(1+'Elec Calculations'!$C$18)</f>
        <v>223.67863010972258</v>
      </c>
      <c r="F98" s="25">
        <f>IFERROR(VLOOKUP(C98,'Elec Wpc'!$D$22:$W$204,20,FALSE),"NA")*MAX(0,E98-D98)</f>
        <v>141.29658720077086</v>
      </c>
      <c r="G98" s="43">
        <f t="shared" si="2"/>
        <v>0.85</v>
      </c>
      <c r="H98" s="43">
        <f>VLOOKUP(MONTH(C98),'Elec Calculations'!$A$39:'Elec Calculations'!$D$50,4,FALSE)</f>
        <v>0.71226999999999996</v>
      </c>
      <c r="I98" s="43">
        <f>'Elec Calculations'!$C$24</f>
        <v>1</v>
      </c>
      <c r="J98" s="43">
        <f t="shared" si="3"/>
        <v>85.545122140669093</v>
      </c>
      <c r="K98" s="26"/>
    </row>
    <row r="99" spans="1:11" x14ac:dyDescent="0.35">
      <c r="A99" s="26"/>
      <c r="B99" s="16" t="s">
        <v>27</v>
      </c>
      <c r="C99" s="12">
        <v>44791</v>
      </c>
      <c r="D99" s="5">
        <f>IFERROR(VLOOKUP(C99,'Elec Wc'!$D$23:$W$1048576,20,FALSE),"NA")*(1+'Elec Calculations'!$C$18)</f>
        <v>60.462524608116169</v>
      </c>
      <c r="E99" s="5">
        <f>IFERROR(VLOOKUP(C99,'Elec Wpc'!$D$22:$V$204,19,FALSE),"NA")*(1+'Elec Calculations'!$C$18)</f>
        <v>223.67863010972258</v>
      </c>
      <c r="F99" s="25">
        <f>IFERROR(VLOOKUP(C99,'Elec Wpc'!$D$22:$W$204,20,FALSE),"NA")*MAX(0,E99-D99)</f>
        <v>141.29658720077083</v>
      </c>
      <c r="G99" s="43">
        <f t="shared" si="2"/>
        <v>0.85</v>
      </c>
      <c r="H99" s="43">
        <f>VLOOKUP(MONTH(C99),'Elec Calculations'!$A$39:'Elec Calculations'!$D$50,4,FALSE)</f>
        <v>0.71226999999999996</v>
      </c>
      <c r="I99" s="43">
        <f>'Elec Calculations'!$C$24</f>
        <v>1</v>
      </c>
      <c r="J99" s="43">
        <f t="shared" si="3"/>
        <v>85.545122140669079</v>
      </c>
      <c r="K99" s="26"/>
    </row>
    <row r="100" spans="1:11" x14ac:dyDescent="0.35">
      <c r="A100" s="26"/>
      <c r="B100" s="16" t="s">
        <v>22</v>
      </c>
      <c r="C100" s="12">
        <v>44792</v>
      </c>
      <c r="D100" s="5">
        <f>IFERROR(VLOOKUP(C100,'Elec Wc'!$D$23:$W$1048576,20,FALSE),"NA")*(1+'Elec Calculations'!$C$18)</f>
        <v>60.462524608116169</v>
      </c>
      <c r="E100" s="5">
        <f>IFERROR(VLOOKUP(C100,'Elec Wpc'!$D$22:$V$204,19,FALSE),"NA")*(1+'Elec Calculations'!$C$18)</f>
        <v>223.67863010972258</v>
      </c>
      <c r="F100" s="25">
        <f>IFERROR(VLOOKUP(C100,'Elec Wpc'!$D$22:$W$204,20,FALSE),"NA")*MAX(0,E100-D100)</f>
        <v>141.29658720077083</v>
      </c>
      <c r="G100" s="43">
        <f t="shared" si="2"/>
        <v>0.85</v>
      </c>
      <c r="H100" s="43">
        <f>VLOOKUP(MONTH(C100),'Elec Calculations'!$A$39:'Elec Calculations'!$D$50,4,FALSE)</f>
        <v>0.71226999999999996</v>
      </c>
      <c r="I100" s="43">
        <f>'Elec Calculations'!$C$24</f>
        <v>1</v>
      </c>
      <c r="J100" s="43">
        <f t="shared" si="3"/>
        <v>85.545122140669079</v>
      </c>
      <c r="K100" s="26"/>
    </row>
    <row r="101" spans="1:11" x14ac:dyDescent="0.35">
      <c r="A101" s="26"/>
      <c r="B101" s="16" t="s">
        <v>24</v>
      </c>
      <c r="C101" s="12">
        <v>44795</v>
      </c>
      <c r="D101" s="5">
        <f>IFERROR(VLOOKUP(C101,'Elec Wc'!$D$23:$W$1048576,20,FALSE),"NA")*(1+'Elec Calculations'!$C$18)</f>
        <v>63.096808067237745</v>
      </c>
      <c r="E101" s="5">
        <f>IFERROR(VLOOKUP(C101,'Elec Wpc'!$D$22:$V$204,19,FALSE),"NA")*(1+'Elec Calculations'!$C$18)</f>
        <v>227.17751383159032</v>
      </c>
      <c r="F101" s="25">
        <f>IFERROR(VLOOKUP(C101,'Elec Wpc'!$D$22:$W$204,20,FALSE),"NA")*MAX(0,E101-D101)</f>
        <v>142.0450737918672</v>
      </c>
      <c r="G101" s="43">
        <f t="shared" si="2"/>
        <v>0.85</v>
      </c>
      <c r="H101" s="43">
        <f>VLOOKUP(MONTH(C101),'Elec Calculations'!$A$39:'Elec Calculations'!$D$50,4,FALSE)</f>
        <v>0.71226999999999996</v>
      </c>
      <c r="I101" s="43">
        <f>'Elec Calculations'!$C$24</f>
        <v>1</v>
      </c>
      <c r="J101" s="43">
        <f t="shared" si="3"/>
        <v>85.998278003273256</v>
      </c>
      <c r="K101" s="26"/>
    </row>
    <row r="102" spans="1:11" x14ac:dyDescent="0.35">
      <c r="A102" s="26"/>
      <c r="B102" s="16" t="s">
        <v>25</v>
      </c>
      <c r="C102" s="12">
        <v>44796</v>
      </c>
      <c r="D102" s="5">
        <f>IFERROR(VLOOKUP(C102,'Elec Wc'!$D$23:$W$1048576,20,FALSE),"NA")*(1+'Elec Calculations'!$C$18)</f>
        <v>63.096808067237745</v>
      </c>
      <c r="E102" s="5">
        <f>IFERROR(VLOOKUP(C102,'Elec Wpc'!$D$22:$V$204,19,FALSE),"NA")*(1+'Elec Calculations'!$C$18)</f>
        <v>227.17751383159032</v>
      </c>
      <c r="F102" s="25">
        <f>IFERROR(VLOOKUP(C102,'Elec Wpc'!$D$22:$W$204,20,FALSE),"NA")*MAX(0,E102-D102)</f>
        <v>142.0450737918672</v>
      </c>
      <c r="G102" s="43">
        <f t="shared" si="2"/>
        <v>0.85</v>
      </c>
      <c r="H102" s="43">
        <f>VLOOKUP(MONTH(C102),'Elec Calculations'!$A$39:'Elec Calculations'!$D$50,4,FALSE)</f>
        <v>0.71226999999999996</v>
      </c>
      <c r="I102" s="43">
        <f>'Elec Calculations'!$C$24</f>
        <v>1</v>
      </c>
      <c r="J102" s="43">
        <f t="shared" si="3"/>
        <v>85.998278003273256</v>
      </c>
      <c r="K102" s="26"/>
    </row>
    <row r="103" spans="1:11" x14ac:dyDescent="0.35">
      <c r="A103" s="26"/>
      <c r="B103" s="16" t="s">
        <v>26</v>
      </c>
      <c r="C103" s="12">
        <v>44797</v>
      </c>
      <c r="D103" s="5">
        <f>IFERROR(VLOOKUP(C103,'Elec Wc'!$D$23:$W$1048576,20,FALSE),"NA")*(1+'Elec Calculations'!$C$18)</f>
        <v>63.096808067237745</v>
      </c>
      <c r="E103" s="5">
        <f>IFERROR(VLOOKUP(C103,'Elec Wpc'!$D$22:$V$204,19,FALSE),"NA")*(1+'Elec Calculations'!$C$18)</f>
        <v>227.17751383159032</v>
      </c>
      <c r="F103" s="25">
        <f>IFERROR(VLOOKUP(C103,'Elec Wpc'!$D$22:$W$204,20,FALSE),"NA")*MAX(0,E103-D103)</f>
        <v>142.0450737918672</v>
      </c>
      <c r="G103" s="43">
        <f t="shared" si="2"/>
        <v>0.85</v>
      </c>
      <c r="H103" s="43">
        <f>VLOOKUP(MONTH(C103),'Elec Calculations'!$A$39:'Elec Calculations'!$D$50,4,FALSE)</f>
        <v>0.71226999999999996</v>
      </c>
      <c r="I103" s="43">
        <f>'Elec Calculations'!$C$24</f>
        <v>1</v>
      </c>
      <c r="J103" s="43">
        <f t="shared" si="3"/>
        <v>85.998278003273256</v>
      </c>
      <c r="K103" s="26"/>
    </row>
    <row r="104" spans="1:11" x14ac:dyDescent="0.35">
      <c r="A104" s="26"/>
      <c r="B104" s="16" t="s">
        <v>27</v>
      </c>
      <c r="C104" s="12">
        <v>44798</v>
      </c>
      <c r="D104" s="5">
        <f>IFERROR(VLOOKUP(C104,'Elec Wc'!$D$23:$W$1048576,20,FALSE),"NA")*(1+'Elec Calculations'!$C$18)</f>
        <v>63.096808067237745</v>
      </c>
      <c r="E104" s="5">
        <f>IFERROR(VLOOKUP(C104,'Elec Wpc'!$D$22:$V$204,19,FALSE),"NA")*(1+'Elec Calculations'!$C$18)</f>
        <v>227.17751383159032</v>
      </c>
      <c r="F104" s="25">
        <f>IFERROR(VLOOKUP(C104,'Elec Wpc'!$D$22:$W$204,20,FALSE),"NA")*MAX(0,E104-D104)</f>
        <v>142.0450737918672</v>
      </c>
      <c r="G104" s="43">
        <f t="shared" si="2"/>
        <v>0.85</v>
      </c>
      <c r="H104" s="43">
        <f>VLOOKUP(MONTH(C104),'Elec Calculations'!$A$39:'Elec Calculations'!$D$50,4,FALSE)</f>
        <v>0.71226999999999996</v>
      </c>
      <c r="I104" s="43">
        <f>'Elec Calculations'!$C$24</f>
        <v>1</v>
      </c>
      <c r="J104" s="43">
        <f t="shared" si="3"/>
        <v>85.998278003273256</v>
      </c>
      <c r="K104" s="26"/>
    </row>
    <row r="105" spans="1:11" x14ac:dyDescent="0.35">
      <c r="A105" s="26"/>
      <c r="B105" s="16" t="s">
        <v>22</v>
      </c>
      <c r="C105" s="12">
        <v>44799</v>
      </c>
      <c r="D105" s="5">
        <f>IFERROR(VLOOKUP(C105,'Elec Wc'!$D$23:$W$1048576,20,FALSE),"NA")*(1+'Elec Calculations'!$C$18)</f>
        <v>63.096808067237745</v>
      </c>
      <c r="E105" s="5">
        <f>IFERROR(VLOOKUP(C105,'Elec Wpc'!$D$22:$V$204,19,FALSE),"NA")*(1+'Elec Calculations'!$C$18)</f>
        <v>227.17751383159032</v>
      </c>
      <c r="F105" s="25">
        <f>IFERROR(VLOOKUP(C105,'Elec Wpc'!$D$22:$W$204,20,FALSE),"NA")*MAX(0,E105-D105)</f>
        <v>142.0450737918672</v>
      </c>
      <c r="G105" s="43">
        <f t="shared" si="2"/>
        <v>0.85</v>
      </c>
      <c r="H105" s="43">
        <f>VLOOKUP(MONTH(C105),'Elec Calculations'!$A$39:'Elec Calculations'!$D$50,4,FALSE)</f>
        <v>0.71226999999999996</v>
      </c>
      <c r="I105" s="43">
        <f>'Elec Calculations'!$C$24</f>
        <v>1</v>
      </c>
      <c r="J105" s="43">
        <f t="shared" si="3"/>
        <v>85.998278003273256</v>
      </c>
      <c r="K105" s="26"/>
    </row>
    <row r="106" spans="1:11" x14ac:dyDescent="0.35">
      <c r="A106" s="26"/>
      <c r="B106" s="16" t="s">
        <v>25</v>
      </c>
      <c r="C106" s="12">
        <v>44803</v>
      </c>
      <c r="D106" s="5">
        <f>IFERROR(VLOOKUP(C106,'Elec Wc'!$D$23:$W$1048576,20,FALSE),"NA")*(1+'Elec Calculations'!$C$18)</f>
        <v>69.207393440472174</v>
      </c>
      <c r="E106" s="5">
        <f>IFERROR(VLOOKUP(C106,'Elec Wpc'!$D$22:$V$204,19,FALSE),"NA")*(1+'Elec Calculations'!$C$18)</f>
        <v>230.61572392678164</v>
      </c>
      <c r="F106" s="25">
        <f>IFERROR(VLOOKUP(C106,'Elec Wpc'!$D$22:$W$204,20,FALSE),"NA")*MAX(0,E106-D106)</f>
        <v>139.73159188794148</v>
      </c>
      <c r="G106" s="43">
        <f t="shared" si="2"/>
        <v>0.85</v>
      </c>
      <c r="H106" s="43">
        <f>VLOOKUP(MONTH(C106),'Elec Calculations'!$A$39:'Elec Calculations'!$D$50,4,FALSE)</f>
        <v>0.71226999999999996</v>
      </c>
      <c r="I106" s="43">
        <f>'Elec Calculations'!$C$24</f>
        <v>1</v>
      </c>
      <c r="J106" s="43">
        <f t="shared" si="3"/>
        <v>84.597627810920457</v>
      </c>
      <c r="K106" s="26"/>
    </row>
    <row r="107" spans="1:11" x14ac:dyDescent="0.35">
      <c r="A107" s="26"/>
      <c r="B107" s="16" t="s">
        <v>26</v>
      </c>
      <c r="C107" s="12">
        <v>44804</v>
      </c>
      <c r="D107" s="5">
        <f>IFERROR(VLOOKUP(C107,'Elec Wc'!$D$23:$W$1048576,20,FALSE),"NA")*(1+'Elec Calculations'!$C$18)</f>
        <v>69.207393440472174</v>
      </c>
      <c r="E107" s="5">
        <f>IFERROR(VLOOKUP(C107,'Elec Wpc'!$D$22:$V$204,19,FALSE),"NA")*(1+'Elec Calculations'!$C$18)</f>
        <v>230.61572392678164</v>
      </c>
      <c r="F107" s="25">
        <f>IFERROR(VLOOKUP(C107,'Elec Wpc'!$D$22:$W$204,20,FALSE),"NA")*MAX(0,E107-D107)</f>
        <v>139.73159188794148</v>
      </c>
      <c r="G107" s="43">
        <f t="shared" si="2"/>
        <v>0.85</v>
      </c>
      <c r="H107" s="43">
        <f>VLOOKUP(MONTH(C107),'Elec Calculations'!$A$39:'Elec Calculations'!$D$50,4,FALSE)</f>
        <v>0.71226999999999996</v>
      </c>
      <c r="I107" s="43">
        <f>'Elec Calculations'!$C$24</f>
        <v>1</v>
      </c>
      <c r="J107" s="43">
        <f t="shared" si="3"/>
        <v>84.597627810920457</v>
      </c>
      <c r="K107" s="26"/>
    </row>
    <row r="108" spans="1:11" x14ac:dyDescent="0.35">
      <c r="A108" s="26"/>
      <c r="B108" s="16" t="s">
        <v>27</v>
      </c>
      <c r="C108" s="12">
        <v>44805</v>
      </c>
      <c r="D108" s="5">
        <f>IFERROR(VLOOKUP(C108,'Elec Wc'!$D$23:$W$1048576,20,FALSE),"NA")*(1+'Elec Calculations'!$C$18)</f>
        <v>69.207393440472174</v>
      </c>
      <c r="E108" s="5">
        <f>IFERROR(VLOOKUP(C108,'Elec Wpc'!$D$22:$V$204,19,FALSE),"NA")*(1+'Elec Calculations'!$C$18)</f>
        <v>230.61572392678164</v>
      </c>
      <c r="F108" s="25">
        <f>IFERROR(VLOOKUP(C108,'Elec Wpc'!$D$22:$W$204,20,FALSE),"NA")*MAX(0,E108-D108)</f>
        <v>139.73159188794148</v>
      </c>
      <c r="G108" s="43">
        <f t="shared" si="2"/>
        <v>0.85</v>
      </c>
      <c r="H108" s="43">
        <f>VLOOKUP(MONTH(C108),'Elec Calculations'!$A$39:'Elec Calculations'!$D$50,4,FALSE)</f>
        <v>0.72038999999999986</v>
      </c>
      <c r="I108" s="43">
        <f>'Elec Calculations'!$C$24</f>
        <v>1</v>
      </c>
      <c r="J108" s="43">
        <f t="shared" si="3"/>
        <v>85.562055258131011</v>
      </c>
      <c r="K108" s="26"/>
    </row>
    <row r="109" spans="1:11" x14ac:dyDescent="0.35">
      <c r="A109" s="26"/>
      <c r="B109" s="16" t="s">
        <v>22</v>
      </c>
      <c r="C109" s="12">
        <v>44806</v>
      </c>
      <c r="D109" s="5">
        <f>IFERROR(VLOOKUP(C109,'Elec Wc'!$D$23:$W$1048576,20,FALSE),"NA")*(1+'Elec Calculations'!$C$18)</f>
        <v>69.207393440472174</v>
      </c>
      <c r="E109" s="5">
        <f>IFERROR(VLOOKUP(C109,'Elec Wpc'!$D$22:$V$204,19,FALSE),"NA")*(1+'Elec Calculations'!$C$18)</f>
        <v>230.61572392678164</v>
      </c>
      <c r="F109" s="25">
        <f>IFERROR(VLOOKUP(C109,'Elec Wpc'!$D$22:$W$204,20,FALSE),"NA")*MAX(0,E109-D109)</f>
        <v>139.73159188794148</v>
      </c>
      <c r="G109" s="43">
        <f t="shared" si="2"/>
        <v>0.85</v>
      </c>
      <c r="H109" s="43">
        <f>VLOOKUP(MONTH(C109),'Elec Calculations'!$A$39:'Elec Calculations'!$D$50,4,FALSE)</f>
        <v>0.72038999999999986</v>
      </c>
      <c r="I109" s="43">
        <f>'Elec Calculations'!$C$24</f>
        <v>1</v>
      </c>
      <c r="J109" s="43">
        <f t="shared" si="3"/>
        <v>85.562055258131011</v>
      </c>
      <c r="K109" s="26"/>
    </row>
    <row r="110" spans="1:11" x14ac:dyDescent="0.35">
      <c r="A110" s="26"/>
      <c r="B110" s="16" t="s">
        <v>24</v>
      </c>
      <c r="C110" s="12">
        <v>44809</v>
      </c>
      <c r="D110" s="5">
        <f>IFERROR(VLOOKUP(C110,'Elec Wc'!$D$23:$W$1048576,20,FALSE),"NA")*(1+'Elec Calculations'!$C$18)</f>
        <v>63.478046928396807</v>
      </c>
      <c r="E110" s="5">
        <f>IFERROR(VLOOKUP(C110,'Elec Wpc'!$D$22:$V$204,19,FALSE),"NA")*(1+'Elec Calculations'!$C$18)</f>
        <v>234.02908218948966</v>
      </c>
      <c r="F110" s="25">
        <f>IFERROR(VLOOKUP(C110,'Elec Wpc'!$D$22:$W$204,20,FALSE),"NA")*MAX(0,E110-D110)</f>
        <v>147.64645407933455</v>
      </c>
      <c r="G110" s="43">
        <f t="shared" si="2"/>
        <v>0.85</v>
      </c>
      <c r="H110" s="43">
        <f>VLOOKUP(MONTH(C110),'Elec Calculations'!$A$39:'Elec Calculations'!$D$50,4,FALSE)</f>
        <v>0.72038999999999986</v>
      </c>
      <c r="I110" s="43">
        <f>'Elec Calculations'!$C$24</f>
        <v>1</v>
      </c>
      <c r="J110" s="43">
        <f t="shared" si="3"/>
        <v>90.408574696080024</v>
      </c>
      <c r="K110" s="26"/>
    </row>
    <row r="111" spans="1:11" x14ac:dyDescent="0.35">
      <c r="A111" s="26"/>
      <c r="B111" s="16" t="s">
        <v>25</v>
      </c>
      <c r="C111" s="12">
        <v>44810</v>
      </c>
      <c r="D111" s="5">
        <f>IFERROR(VLOOKUP(C111,'Elec Wc'!$D$23:$W$1048576,20,FALSE),"NA")*(1+'Elec Calculations'!$C$18)</f>
        <v>63.478046928396807</v>
      </c>
      <c r="E111" s="5">
        <f>IFERROR(VLOOKUP(C111,'Elec Wpc'!$D$22:$V$204,19,FALSE),"NA")*(1+'Elec Calculations'!$C$18)</f>
        <v>234.02908218948966</v>
      </c>
      <c r="F111" s="25">
        <f>IFERROR(VLOOKUP(C111,'Elec Wpc'!$D$22:$W$204,20,FALSE),"NA")*MAX(0,E111-D111)</f>
        <v>147.64645407933455</v>
      </c>
      <c r="G111" s="43">
        <f t="shared" si="2"/>
        <v>0.85</v>
      </c>
      <c r="H111" s="43">
        <f>VLOOKUP(MONTH(C111),'Elec Calculations'!$A$39:'Elec Calculations'!$D$50,4,FALSE)</f>
        <v>0.72038999999999986</v>
      </c>
      <c r="I111" s="43">
        <f>'Elec Calculations'!$C$24</f>
        <v>1</v>
      </c>
      <c r="J111" s="43">
        <f t="shared" si="3"/>
        <v>90.408574696080024</v>
      </c>
      <c r="K111" s="26"/>
    </row>
    <row r="112" spans="1:11" x14ac:dyDescent="0.35">
      <c r="A112" s="26"/>
      <c r="B112" s="16" t="s">
        <v>26</v>
      </c>
      <c r="C112" s="12">
        <v>44811</v>
      </c>
      <c r="D112" s="5">
        <f>IFERROR(VLOOKUP(C112,'Elec Wc'!$D$23:$W$1048576,20,FALSE),"NA")*(1+'Elec Calculations'!$C$18)</f>
        <v>63.478046928396807</v>
      </c>
      <c r="E112" s="5">
        <f>IFERROR(VLOOKUP(C112,'Elec Wpc'!$D$22:$V$204,19,FALSE),"NA")*(1+'Elec Calculations'!$C$18)</f>
        <v>234.02908218948966</v>
      </c>
      <c r="F112" s="25">
        <f>IFERROR(VLOOKUP(C112,'Elec Wpc'!$D$22:$W$204,20,FALSE),"NA")*MAX(0,E112-D112)</f>
        <v>147.64645407933455</v>
      </c>
      <c r="G112" s="43">
        <f t="shared" si="2"/>
        <v>0.85</v>
      </c>
      <c r="H112" s="43">
        <f>VLOOKUP(MONTH(C112),'Elec Calculations'!$A$39:'Elec Calculations'!$D$50,4,FALSE)</f>
        <v>0.72038999999999986</v>
      </c>
      <c r="I112" s="43">
        <f>'Elec Calculations'!$C$24</f>
        <v>1</v>
      </c>
      <c r="J112" s="43">
        <f t="shared" si="3"/>
        <v>90.408574696080024</v>
      </c>
      <c r="K112" s="26"/>
    </row>
    <row r="113" spans="1:11" x14ac:dyDescent="0.35">
      <c r="A113" s="26"/>
      <c r="B113" s="16" t="s">
        <v>27</v>
      </c>
      <c r="C113" s="12">
        <v>44812</v>
      </c>
      <c r="D113" s="5">
        <f>IFERROR(VLOOKUP(C113,'Elec Wc'!$D$23:$W$1048576,20,FALSE),"NA")*(1+'Elec Calculations'!$C$18)</f>
        <v>63.478046928396807</v>
      </c>
      <c r="E113" s="5">
        <f>IFERROR(VLOOKUP(C113,'Elec Wpc'!$D$22:$V$204,19,FALSE),"NA")*(1+'Elec Calculations'!$C$18)</f>
        <v>234.02908218948966</v>
      </c>
      <c r="F113" s="25">
        <f>IFERROR(VLOOKUP(C113,'Elec Wpc'!$D$22:$W$204,20,FALSE),"NA")*MAX(0,E113-D113)</f>
        <v>147.64645407933455</v>
      </c>
      <c r="G113" s="43">
        <f t="shared" si="2"/>
        <v>0.85</v>
      </c>
      <c r="H113" s="43">
        <f>VLOOKUP(MONTH(C113),'Elec Calculations'!$A$39:'Elec Calculations'!$D$50,4,FALSE)</f>
        <v>0.72038999999999986</v>
      </c>
      <c r="I113" s="43">
        <f>'Elec Calculations'!$C$24</f>
        <v>1</v>
      </c>
      <c r="J113" s="43">
        <f t="shared" si="3"/>
        <v>90.408574696080024</v>
      </c>
      <c r="K113" s="26"/>
    </row>
    <row r="114" spans="1:11" x14ac:dyDescent="0.35">
      <c r="A114" s="26"/>
      <c r="B114" s="16" t="s">
        <v>22</v>
      </c>
      <c r="C114" s="12">
        <v>44813</v>
      </c>
      <c r="D114" s="5">
        <f>IFERROR(VLOOKUP(C114,'Elec Wc'!$D$23:$W$1048576,20,FALSE),"NA")*(1+'Elec Calculations'!$C$18)</f>
        <v>63.478046928396807</v>
      </c>
      <c r="E114" s="5">
        <f>IFERROR(VLOOKUP(C114,'Elec Wpc'!$D$22:$V$204,19,FALSE),"NA")*(1+'Elec Calculations'!$C$18)</f>
        <v>234.02908218948966</v>
      </c>
      <c r="F114" s="25">
        <f>IFERROR(VLOOKUP(C114,'Elec Wpc'!$D$22:$W$204,20,FALSE),"NA")*MAX(0,E114-D114)</f>
        <v>147.64645407933455</v>
      </c>
      <c r="G114" s="43">
        <f t="shared" si="2"/>
        <v>0.85</v>
      </c>
      <c r="H114" s="43">
        <f>VLOOKUP(MONTH(C114),'Elec Calculations'!$A$39:'Elec Calculations'!$D$50,4,FALSE)</f>
        <v>0.72038999999999986</v>
      </c>
      <c r="I114" s="43">
        <f>'Elec Calculations'!$C$24</f>
        <v>1</v>
      </c>
      <c r="J114" s="43">
        <f t="shared" si="3"/>
        <v>90.408574696080024</v>
      </c>
      <c r="K114" s="26"/>
    </row>
    <row r="115" spans="1:11" x14ac:dyDescent="0.35">
      <c r="A115" s="26"/>
      <c r="B115" s="16" t="s">
        <v>24</v>
      </c>
      <c r="C115" s="12">
        <v>44816</v>
      </c>
      <c r="D115" s="5">
        <f>IFERROR(VLOOKUP(C115,'Elec Wc'!$D$23:$W$1048576,20,FALSE),"NA")*(1+'Elec Calculations'!$C$18)</f>
        <v>53.132260840415199</v>
      </c>
      <c r="E115" s="5">
        <f>IFERROR(VLOOKUP(C115,'Elec Wpc'!$D$22:$V$204,19,FALSE),"NA")*(1+'Elec Calculations'!$C$18)</f>
        <v>235.42281155451036</v>
      </c>
      <c r="F115" s="25">
        <f>IFERROR(VLOOKUP(C115,'Elec Wpc'!$D$22:$W$204,20,FALSE),"NA")*MAX(0,E115-D115)</f>
        <v>157.8093817132353</v>
      </c>
      <c r="G115" s="43">
        <f t="shared" si="2"/>
        <v>0.85</v>
      </c>
      <c r="H115" s="43">
        <f>VLOOKUP(MONTH(C115),'Elec Calculations'!$A$39:'Elec Calculations'!$D$50,4,FALSE)</f>
        <v>0.72038999999999986</v>
      </c>
      <c r="I115" s="43">
        <f>'Elec Calculations'!$C$24</f>
        <v>1</v>
      </c>
      <c r="J115" s="43">
        <f t="shared" si="3"/>
        <v>96.631655418537918</v>
      </c>
      <c r="K115" s="26"/>
    </row>
    <row r="116" spans="1:11" x14ac:dyDescent="0.35">
      <c r="A116" s="26"/>
      <c r="B116" s="16" t="s">
        <v>25</v>
      </c>
      <c r="C116" s="12">
        <v>44817</v>
      </c>
      <c r="D116" s="5">
        <f>IFERROR(VLOOKUP(C116,'Elec Wc'!$D$23:$W$1048576,20,FALSE),"NA")*(1+'Elec Calculations'!$C$18)</f>
        <v>53.132260840415199</v>
      </c>
      <c r="E116" s="5">
        <f>IFERROR(VLOOKUP(C116,'Elec Wpc'!$D$22:$V$204,19,FALSE),"NA")*(1+'Elec Calculations'!$C$18)</f>
        <v>235.42281155451036</v>
      </c>
      <c r="F116" s="25">
        <f>IFERROR(VLOOKUP(C116,'Elec Wpc'!$D$22:$W$204,20,FALSE),"NA")*MAX(0,E116-D116)</f>
        <v>157.8093817132353</v>
      </c>
      <c r="G116" s="43">
        <f t="shared" si="2"/>
        <v>0.85</v>
      </c>
      <c r="H116" s="43">
        <f>VLOOKUP(MONTH(C116),'Elec Calculations'!$A$39:'Elec Calculations'!$D$50,4,FALSE)</f>
        <v>0.72038999999999986</v>
      </c>
      <c r="I116" s="43">
        <f>'Elec Calculations'!$C$24</f>
        <v>1</v>
      </c>
      <c r="J116" s="43">
        <f t="shared" si="3"/>
        <v>96.631655418537918</v>
      </c>
      <c r="K116" s="26"/>
    </row>
    <row r="117" spans="1:11" x14ac:dyDescent="0.35">
      <c r="A117" s="26"/>
      <c r="B117" s="16" t="s">
        <v>26</v>
      </c>
      <c r="C117" s="12">
        <v>44818</v>
      </c>
      <c r="D117" s="5">
        <f>IFERROR(VLOOKUP(C117,'Elec Wc'!$D$23:$W$1048576,20,FALSE),"NA")*(1+'Elec Calculations'!$C$18)</f>
        <v>53.132260840415199</v>
      </c>
      <c r="E117" s="5">
        <f>IFERROR(VLOOKUP(C117,'Elec Wpc'!$D$22:$V$204,19,FALSE),"NA")*(1+'Elec Calculations'!$C$18)</f>
        <v>235.42281155451036</v>
      </c>
      <c r="F117" s="25">
        <f>IFERROR(VLOOKUP(C117,'Elec Wpc'!$D$22:$W$204,20,FALSE),"NA")*MAX(0,E117-D117)</f>
        <v>157.8093817132353</v>
      </c>
      <c r="G117" s="43">
        <f t="shared" si="2"/>
        <v>0.85</v>
      </c>
      <c r="H117" s="43">
        <f>VLOOKUP(MONTH(C117),'Elec Calculations'!$A$39:'Elec Calculations'!$D$50,4,FALSE)</f>
        <v>0.72038999999999986</v>
      </c>
      <c r="I117" s="43">
        <f>'Elec Calculations'!$C$24</f>
        <v>1</v>
      </c>
      <c r="J117" s="43">
        <f t="shared" si="3"/>
        <v>96.631655418537918</v>
      </c>
      <c r="K117" s="26"/>
    </row>
    <row r="118" spans="1:11" x14ac:dyDescent="0.35">
      <c r="A118" s="26"/>
      <c r="B118" s="16" t="s">
        <v>27</v>
      </c>
      <c r="C118" s="12">
        <v>44819</v>
      </c>
      <c r="D118" s="5">
        <f>IFERROR(VLOOKUP(C118,'Elec Wc'!$D$23:$W$1048576,20,FALSE),"NA")*(1+'Elec Calculations'!$C$18)</f>
        <v>53.132260840415199</v>
      </c>
      <c r="E118" s="5">
        <f>IFERROR(VLOOKUP(C118,'Elec Wpc'!$D$22:$V$204,19,FALSE),"NA")*(1+'Elec Calculations'!$C$18)</f>
        <v>235.42281155451036</v>
      </c>
      <c r="F118" s="25">
        <f>IFERROR(VLOOKUP(C118,'Elec Wpc'!$D$22:$W$204,20,FALSE),"NA")*MAX(0,E118-D118)</f>
        <v>157.8093817132353</v>
      </c>
      <c r="G118" s="43">
        <f t="shared" si="2"/>
        <v>0.85</v>
      </c>
      <c r="H118" s="43">
        <f>VLOOKUP(MONTH(C118),'Elec Calculations'!$A$39:'Elec Calculations'!$D$50,4,FALSE)</f>
        <v>0.72038999999999986</v>
      </c>
      <c r="I118" s="43">
        <f>'Elec Calculations'!$C$24</f>
        <v>1</v>
      </c>
      <c r="J118" s="43">
        <f t="shared" si="3"/>
        <v>96.631655418537918</v>
      </c>
      <c r="K118" s="26"/>
    </row>
    <row r="119" spans="1:11" x14ac:dyDescent="0.35">
      <c r="A119" s="26"/>
      <c r="B119" s="16" t="s">
        <v>22</v>
      </c>
      <c r="C119" s="12">
        <v>44820</v>
      </c>
      <c r="D119" s="5">
        <f>IFERROR(VLOOKUP(C119,'Elec Wc'!$D$23:$W$1048576,20,FALSE),"NA")*(1+'Elec Calculations'!$C$18)</f>
        <v>53.132260840415199</v>
      </c>
      <c r="E119" s="5">
        <f>IFERROR(VLOOKUP(C119,'Elec Wpc'!$D$22:$V$204,19,FALSE),"NA")*(1+'Elec Calculations'!$C$18)</f>
        <v>235.42281155451036</v>
      </c>
      <c r="F119" s="25">
        <f>IFERROR(VLOOKUP(C119,'Elec Wpc'!$D$22:$W$204,20,FALSE),"NA")*MAX(0,E119-D119)</f>
        <v>157.8093817132353</v>
      </c>
      <c r="G119" s="43">
        <f t="shared" si="2"/>
        <v>0.85</v>
      </c>
      <c r="H119" s="43">
        <f>VLOOKUP(MONTH(C119),'Elec Calculations'!$A$39:'Elec Calculations'!$D$50,4,FALSE)</f>
        <v>0.72038999999999986</v>
      </c>
      <c r="I119" s="43">
        <f>'Elec Calculations'!$C$24</f>
        <v>1</v>
      </c>
      <c r="J119" s="43">
        <f t="shared" si="3"/>
        <v>96.631655418537918</v>
      </c>
      <c r="K119" s="26"/>
    </row>
    <row r="120" spans="1:11" x14ac:dyDescent="0.35">
      <c r="A120" s="26"/>
      <c r="B120" s="16" t="s">
        <v>24</v>
      </c>
      <c r="C120" s="12">
        <v>44823</v>
      </c>
      <c r="D120" s="5">
        <f>IFERROR(VLOOKUP(C120,'Elec Wc'!$D$23:$W$1048576,20,FALSE),"NA")*(1+'Elec Calculations'!$C$18)</f>
        <v>39.82145419597154</v>
      </c>
      <c r="E120" s="5">
        <f>IFERROR(VLOOKUP(C120,'Elec Wpc'!$D$22:$V$204,19,FALSE),"NA")*(1+'Elec Calculations'!$C$18)</f>
        <v>236.84962271541832</v>
      </c>
      <c r="F120" s="25">
        <f>IFERROR(VLOOKUP(C120,'Elec Wpc'!$D$22:$W$204,20,FALSE),"NA")*MAX(0,E120-D120)</f>
        <v>170.56777398687643</v>
      </c>
      <c r="G120" s="43">
        <f t="shared" si="2"/>
        <v>0.85</v>
      </c>
      <c r="H120" s="43">
        <f>VLOOKUP(MONTH(C120),'Elec Calculations'!$A$39:'Elec Calculations'!$D$50,4,FALSE)</f>
        <v>0.72038999999999986</v>
      </c>
      <c r="I120" s="43">
        <f>'Elec Calculations'!$C$24</f>
        <v>1</v>
      </c>
      <c r="J120" s="43">
        <f t="shared" si="3"/>
        <v>104.44402089704501</v>
      </c>
      <c r="K120" s="26"/>
    </row>
    <row r="121" spans="1:11" x14ac:dyDescent="0.35">
      <c r="A121" s="26"/>
      <c r="B121" s="16" t="s">
        <v>25</v>
      </c>
      <c r="C121" s="12">
        <v>44824</v>
      </c>
      <c r="D121" s="5">
        <f>IFERROR(VLOOKUP(C121,'Elec Wc'!$D$23:$W$1048576,20,FALSE),"NA")*(1+'Elec Calculations'!$C$18)</f>
        <v>39.82145419597154</v>
      </c>
      <c r="E121" s="5">
        <f>IFERROR(VLOOKUP(C121,'Elec Wpc'!$D$22:$V$204,19,FALSE),"NA")*(1+'Elec Calculations'!$C$18)</f>
        <v>236.84962271541832</v>
      </c>
      <c r="F121" s="25">
        <f>IFERROR(VLOOKUP(C121,'Elec Wpc'!$D$22:$W$204,20,FALSE),"NA")*MAX(0,E121-D121)</f>
        <v>170.56777398687646</v>
      </c>
      <c r="G121" s="43">
        <f t="shared" si="2"/>
        <v>0.85</v>
      </c>
      <c r="H121" s="43">
        <f>VLOOKUP(MONTH(C121),'Elec Calculations'!$A$39:'Elec Calculations'!$D$50,4,FALSE)</f>
        <v>0.72038999999999986</v>
      </c>
      <c r="I121" s="43">
        <f>'Elec Calculations'!$C$24</f>
        <v>1</v>
      </c>
      <c r="J121" s="43">
        <f t="shared" si="3"/>
        <v>104.44402089704502</v>
      </c>
      <c r="K121" s="26"/>
    </row>
    <row r="122" spans="1:11" x14ac:dyDescent="0.35">
      <c r="A122" s="26"/>
      <c r="B122" s="16" t="s">
        <v>26</v>
      </c>
      <c r="C122" s="12">
        <v>44825</v>
      </c>
      <c r="D122" s="5">
        <f>IFERROR(VLOOKUP(C122,'Elec Wc'!$D$23:$W$1048576,20,FALSE),"NA")*(1+'Elec Calculations'!$C$18)</f>
        <v>39.82145419597154</v>
      </c>
      <c r="E122" s="5">
        <f>IFERROR(VLOOKUP(C122,'Elec Wpc'!$D$22:$V$204,19,FALSE),"NA")*(1+'Elec Calculations'!$C$18)</f>
        <v>236.84962271541832</v>
      </c>
      <c r="F122" s="25">
        <f>IFERROR(VLOOKUP(C122,'Elec Wpc'!$D$22:$W$204,20,FALSE),"NA")*MAX(0,E122-D122)</f>
        <v>170.56777398687646</v>
      </c>
      <c r="G122" s="43">
        <f t="shared" si="2"/>
        <v>0.85</v>
      </c>
      <c r="H122" s="43">
        <f>VLOOKUP(MONTH(C122),'Elec Calculations'!$A$39:'Elec Calculations'!$D$50,4,FALSE)</f>
        <v>0.72038999999999986</v>
      </c>
      <c r="I122" s="43">
        <f>'Elec Calculations'!$C$24</f>
        <v>1</v>
      </c>
      <c r="J122" s="43">
        <f t="shared" si="3"/>
        <v>104.44402089704502</v>
      </c>
      <c r="K122" s="26"/>
    </row>
    <row r="123" spans="1:11" x14ac:dyDescent="0.35">
      <c r="A123" s="26"/>
      <c r="B123" s="16" t="s">
        <v>27</v>
      </c>
      <c r="C123" s="12">
        <v>44826</v>
      </c>
      <c r="D123" s="5">
        <f>IFERROR(VLOOKUP(C123,'Elec Wc'!$D$23:$W$1048576,20,FALSE),"NA")*(1+'Elec Calculations'!$C$18)</f>
        <v>39.82145419597154</v>
      </c>
      <c r="E123" s="5">
        <f>IFERROR(VLOOKUP(C123,'Elec Wpc'!$D$22:$V$204,19,FALSE),"NA")*(1+'Elec Calculations'!$C$18)</f>
        <v>236.84962271541832</v>
      </c>
      <c r="F123" s="25">
        <f>IFERROR(VLOOKUP(C123,'Elec Wpc'!$D$22:$W$204,20,FALSE),"NA")*MAX(0,E123-D123)</f>
        <v>170.56777398687646</v>
      </c>
      <c r="G123" s="43">
        <f t="shared" si="2"/>
        <v>0.85</v>
      </c>
      <c r="H123" s="43">
        <f>VLOOKUP(MONTH(C123),'Elec Calculations'!$A$39:'Elec Calculations'!$D$50,4,FALSE)</f>
        <v>0.72038999999999986</v>
      </c>
      <c r="I123" s="43">
        <f>'Elec Calculations'!$C$24</f>
        <v>1</v>
      </c>
      <c r="J123" s="43">
        <f t="shared" si="3"/>
        <v>104.44402089704502</v>
      </c>
      <c r="K123" s="26"/>
    </row>
    <row r="124" spans="1:11" x14ac:dyDescent="0.35">
      <c r="A124" s="26"/>
      <c r="B124" s="16" t="s">
        <v>22</v>
      </c>
      <c r="C124" s="12">
        <v>44827</v>
      </c>
      <c r="D124" s="5">
        <f>IFERROR(VLOOKUP(C124,'Elec Wc'!$D$23:$W$1048576,20,FALSE),"NA")*(1+'Elec Calculations'!$C$18)</f>
        <v>39.82145419597154</v>
      </c>
      <c r="E124" s="5">
        <f>IFERROR(VLOOKUP(C124,'Elec Wpc'!$D$22:$V$204,19,FALSE),"NA")*(1+'Elec Calculations'!$C$18)</f>
        <v>236.84962271541832</v>
      </c>
      <c r="F124" s="25">
        <f>IFERROR(VLOOKUP(C124,'Elec Wpc'!$D$22:$W$204,20,FALSE),"NA")*MAX(0,E124-D124)</f>
        <v>170.56777398687646</v>
      </c>
      <c r="G124" s="43">
        <f t="shared" si="2"/>
        <v>0.85</v>
      </c>
      <c r="H124" s="43">
        <f>VLOOKUP(MONTH(C124),'Elec Calculations'!$A$39:'Elec Calculations'!$D$50,4,FALSE)</f>
        <v>0.72038999999999986</v>
      </c>
      <c r="I124" s="43">
        <f>'Elec Calculations'!$C$24</f>
        <v>1</v>
      </c>
      <c r="J124" s="43">
        <f t="shared" si="3"/>
        <v>104.44402089704502</v>
      </c>
      <c r="K124" s="26"/>
    </row>
    <row r="125" spans="1:11" x14ac:dyDescent="0.35">
      <c r="A125" s="26"/>
      <c r="B125" s="16" t="s">
        <v>24</v>
      </c>
      <c r="C125" s="12">
        <v>44830</v>
      </c>
      <c r="D125" s="5">
        <f>IFERROR(VLOOKUP(C125,'Elec Wc'!$D$23:$W$1048576,20,FALSE),"NA")*(1+'Elec Calculations'!$C$18)</f>
        <v>50.52555741142335</v>
      </c>
      <c r="E125" s="5">
        <f>IFERROR(VLOOKUP(C125,'Elec Wpc'!$D$22:$V$204,19,FALSE),"NA")*(1+'Elec Calculations'!$C$18)</f>
        <v>238.27643387632625</v>
      </c>
      <c r="F125" s="25">
        <f>IFERROR(VLOOKUP(C125,'Elec Wpc'!$D$22:$W$204,20,FALSE),"NA")*MAX(0,E125-D125)</f>
        <v>162.53639925370723</v>
      </c>
      <c r="G125" s="43">
        <f t="shared" si="2"/>
        <v>0.85</v>
      </c>
      <c r="H125" s="43">
        <f>VLOOKUP(MONTH(C125),'Elec Calculations'!$A$39:'Elec Calculations'!$D$50,4,FALSE)</f>
        <v>0.72038999999999986</v>
      </c>
      <c r="I125" s="43">
        <f>'Elec Calculations'!$C$24</f>
        <v>1</v>
      </c>
      <c r="J125" s="43">
        <f t="shared" si="3"/>
        <v>99.526157159621405</v>
      </c>
      <c r="K125" s="26"/>
    </row>
    <row r="126" spans="1:11" x14ac:dyDescent="0.35">
      <c r="A126" s="26"/>
      <c r="B126" s="16" t="s">
        <v>25</v>
      </c>
      <c r="C126" s="12">
        <v>44831</v>
      </c>
      <c r="D126" s="5">
        <f>IFERROR(VLOOKUP(C126,'Elec Wc'!$D$23:$W$1048576,20,FALSE),"NA")*(1+'Elec Calculations'!$C$18)</f>
        <v>50.52555741142335</v>
      </c>
      <c r="E126" s="5">
        <f>IFERROR(VLOOKUP(C126,'Elec Wpc'!$D$22:$V$204,19,FALSE),"NA")*(1+'Elec Calculations'!$C$18)</f>
        <v>238.27643387632625</v>
      </c>
      <c r="F126" s="25">
        <f>IFERROR(VLOOKUP(C126,'Elec Wpc'!$D$22:$W$204,20,FALSE),"NA")*MAX(0,E126-D126)</f>
        <v>162.53639925370723</v>
      </c>
      <c r="G126" s="43">
        <f t="shared" si="2"/>
        <v>0.85</v>
      </c>
      <c r="H126" s="43">
        <f>VLOOKUP(MONTH(C126),'Elec Calculations'!$A$39:'Elec Calculations'!$D$50,4,FALSE)</f>
        <v>0.72038999999999986</v>
      </c>
      <c r="I126" s="43">
        <f>'Elec Calculations'!$C$24</f>
        <v>1</v>
      </c>
      <c r="J126" s="43">
        <f t="shared" si="3"/>
        <v>99.526157159621405</v>
      </c>
      <c r="K126" s="26"/>
    </row>
    <row r="127" spans="1:11" x14ac:dyDescent="0.35">
      <c r="A127" s="26"/>
      <c r="B127" s="16" t="s">
        <v>26</v>
      </c>
      <c r="C127" s="12">
        <v>44832</v>
      </c>
      <c r="D127" s="5">
        <f>IFERROR(VLOOKUP(C127,'Elec Wc'!$D$23:$W$1048576,20,FALSE),"NA")*(1+'Elec Calculations'!$C$18)</f>
        <v>50.52555741142335</v>
      </c>
      <c r="E127" s="5">
        <f>IFERROR(VLOOKUP(C127,'Elec Wpc'!$D$22:$V$204,19,FALSE),"NA")*(1+'Elec Calculations'!$C$18)</f>
        <v>238.27643387632625</v>
      </c>
      <c r="F127" s="25">
        <f>IFERROR(VLOOKUP(C127,'Elec Wpc'!$D$22:$W$204,20,FALSE),"NA")*MAX(0,E127-D127)</f>
        <v>162.53639925370726</v>
      </c>
      <c r="G127" s="43">
        <f t="shared" si="2"/>
        <v>0.85</v>
      </c>
      <c r="H127" s="43">
        <f>VLOOKUP(MONTH(C127),'Elec Calculations'!$A$39:'Elec Calculations'!$D$50,4,FALSE)</f>
        <v>0.72038999999999986</v>
      </c>
      <c r="I127" s="43">
        <f>'Elec Calculations'!$C$24</f>
        <v>1</v>
      </c>
      <c r="J127" s="43">
        <f t="shared" si="3"/>
        <v>99.52615715962142</v>
      </c>
      <c r="K127" s="26"/>
    </row>
    <row r="128" spans="1:11" x14ac:dyDescent="0.35">
      <c r="A128" s="26"/>
      <c r="B128" s="16" t="s">
        <v>27</v>
      </c>
      <c r="C128" s="12">
        <v>44833</v>
      </c>
      <c r="D128" s="5">
        <f>IFERROR(VLOOKUP(C128,'Elec Wc'!$D$23:$W$1048576,20,FALSE),"NA")*(1+'Elec Calculations'!$C$18)</f>
        <v>50.52555741142335</v>
      </c>
      <c r="E128" s="5">
        <f>IFERROR(VLOOKUP(C128,'Elec Wpc'!$D$22:$V$204,19,FALSE),"NA")*(1+'Elec Calculations'!$C$18)</f>
        <v>238.27643387632625</v>
      </c>
      <c r="F128" s="25">
        <f>IFERROR(VLOOKUP(C128,'Elec Wpc'!$D$22:$W$204,20,FALSE),"NA")*MAX(0,E128-D128)</f>
        <v>162.53639925370726</v>
      </c>
      <c r="G128" s="43">
        <f t="shared" si="2"/>
        <v>0.85</v>
      </c>
      <c r="H128" s="43">
        <f>VLOOKUP(MONTH(C128),'Elec Calculations'!$A$39:'Elec Calculations'!$D$50,4,FALSE)</f>
        <v>0.72038999999999986</v>
      </c>
      <c r="I128" s="43">
        <f>'Elec Calculations'!$C$24</f>
        <v>1</v>
      </c>
      <c r="J128" s="43">
        <f t="shared" si="3"/>
        <v>99.52615715962142</v>
      </c>
      <c r="K128" s="26"/>
    </row>
    <row r="129" spans="1:11" x14ac:dyDescent="0.35">
      <c r="A129" s="26"/>
      <c r="B129" s="16" t="s">
        <v>22</v>
      </c>
      <c r="C129" s="12">
        <v>44834</v>
      </c>
      <c r="D129" s="5">
        <f>IFERROR(VLOOKUP(C129,'Elec Wc'!$D$23:$W$1048576,20,FALSE),"NA")*(1+'Elec Calculations'!$C$18)</f>
        <v>50.52555741142335</v>
      </c>
      <c r="E129" s="5">
        <f>IFERROR(VLOOKUP(C129,'Elec Wpc'!$D$22:$V$204,19,FALSE),"NA")*(1+'Elec Calculations'!$C$18)</f>
        <v>238.27643387632625</v>
      </c>
      <c r="F129" s="25">
        <f>IFERROR(VLOOKUP(C129,'Elec Wpc'!$D$22:$W$204,20,FALSE),"NA")*MAX(0,E129-D129)</f>
        <v>162.53639925370726</v>
      </c>
      <c r="G129" s="43">
        <f t="shared" si="2"/>
        <v>0.85</v>
      </c>
      <c r="H129" s="43">
        <f>VLOOKUP(MONTH(C129),'Elec Calculations'!$A$39:'Elec Calculations'!$D$50,4,FALSE)</f>
        <v>0.72038999999999986</v>
      </c>
      <c r="I129" s="43">
        <f>'Elec Calculations'!$C$24</f>
        <v>1</v>
      </c>
      <c r="J129" s="43">
        <f t="shared" si="3"/>
        <v>99.52615715962142</v>
      </c>
      <c r="K129" s="26"/>
    </row>
    <row r="130" spans="1:11" hidden="1" x14ac:dyDescent="0.35">
      <c r="E130" s="5"/>
      <c r="F130" s="43"/>
    </row>
    <row r="131" spans="1:11" hidden="1" x14ac:dyDescent="0.35">
      <c r="E131" s="5"/>
      <c r="F131" s="43"/>
    </row>
    <row r="132" spans="1:11" hidden="1" x14ac:dyDescent="0.35">
      <c r="E132" s="5"/>
      <c r="F132" s="43"/>
    </row>
    <row r="133" spans="1:11" hidden="1" x14ac:dyDescent="0.35">
      <c r="E133" s="5"/>
      <c r="F133" s="43"/>
    </row>
    <row r="134" spans="1:11" hidden="1" x14ac:dyDescent="0.35">
      <c r="E134" s="5"/>
      <c r="F134" s="43"/>
    </row>
    <row r="135" spans="1:11" hidden="1" x14ac:dyDescent="0.35">
      <c r="E135" s="5"/>
      <c r="F135" s="43"/>
    </row>
    <row r="136" spans="1:11" hidden="1" x14ac:dyDescent="0.35">
      <c r="E136" s="5"/>
      <c r="F136" s="43"/>
    </row>
    <row r="137" spans="1:11" hidden="1" x14ac:dyDescent="0.35">
      <c r="E137" s="5"/>
      <c r="F137" s="43"/>
    </row>
    <row r="138" spans="1:11" hidden="1" x14ac:dyDescent="0.35">
      <c r="E138" s="5"/>
      <c r="F138" s="43"/>
    </row>
    <row r="139" spans="1:11" hidden="1" x14ac:dyDescent="0.35">
      <c r="E139" s="5"/>
      <c r="F139" s="43"/>
    </row>
    <row r="140" spans="1:11" hidden="1" x14ac:dyDescent="0.35">
      <c r="E140" s="5"/>
      <c r="F140" s="43"/>
    </row>
    <row r="141" spans="1:11" hidden="1" x14ac:dyDescent="0.35">
      <c r="E141" s="5"/>
      <c r="F141" s="43"/>
    </row>
    <row r="142" spans="1:11" hidden="1" x14ac:dyDescent="0.35">
      <c r="E142" s="5"/>
      <c r="F142" s="43"/>
    </row>
    <row r="143" spans="1:11" hidden="1" x14ac:dyDescent="0.35">
      <c r="E143" s="5"/>
      <c r="F143" s="43"/>
    </row>
    <row r="144" spans="1:11" hidden="1" x14ac:dyDescent="0.35">
      <c r="E144" s="5"/>
      <c r="F144" s="43"/>
    </row>
    <row r="145" spans="5:6" hidden="1" x14ac:dyDescent="0.35">
      <c r="E145" s="5"/>
      <c r="F145" s="43"/>
    </row>
    <row r="146" spans="5:6" hidden="1" x14ac:dyDescent="0.35">
      <c r="E146" s="5"/>
      <c r="F146" s="43"/>
    </row>
    <row r="147" spans="5:6" hidden="1" x14ac:dyDescent="0.35">
      <c r="E147" s="5"/>
      <c r="F147" s="43"/>
    </row>
    <row r="148" spans="5:6" hidden="1" x14ac:dyDescent="0.35">
      <c r="E148" s="5"/>
      <c r="F148" s="43"/>
    </row>
    <row r="149" spans="5:6" hidden="1" x14ac:dyDescent="0.35">
      <c r="E149" s="5"/>
      <c r="F149" s="43"/>
    </row>
    <row r="150" spans="5:6" hidden="1" x14ac:dyDescent="0.35">
      <c r="E150" s="5"/>
      <c r="F150" s="43"/>
    </row>
    <row r="151" spans="5:6" hidden="1" x14ac:dyDescent="0.35">
      <c r="E151" s="5"/>
      <c r="F151" s="43"/>
    </row>
    <row r="152" spans="5:6" hidden="1" x14ac:dyDescent="0.35">
      <c r="E152" s="5"/>
      <c r="F152" s="43"/>
    </row>
    <row r="153" spans="5:6" hidden="1" x14ac:dyDescent="0.35">
      <c r="E153" s="5"/>
      <c r="F153" s="43"/>
    </row>
    <row r="154" spans="5:6" hidden="1" x14ac:dyDescent="0.35">
      <c r="E154" s="5"/>
      <c r="F154" s="43"/>
    </row>
    <row r="155" spans="5:6" hidden="1" x14ac:dyDescent="0.35">
      <c r="E155" s="5"/>
      <c r="F155" s="43"/>
    </row>
    <row r="156" spans="5:6" hidden="1" x14ac:dyDescent="0.35">
      <c r="E156" s="5"/>
      <c r="F156" s="43"/>
    </row>
    <row r="157" spans="5:6" hidden="1" x14ac:dyDescent="0.35">
      <c r="E157" s="5"/>
      <c r="F157" s="43"/>
    </row>
    <row r="158" spans="5:6" hidden="1" x14ac:dyDescent="0.35">
      <c r="E158" s="5"/>
      <c r="F158" s="43"/>
    </row>
    <row r="159" spans="5:6" hidden="1" x14ac:dyDescent="0.35">
      <c r="E159" s="5"/>
      <c r="F159" s="43"/>
    </row>
    <row r="160" spans="5:6" hidden="1" x14ac:dyDescent="0.35">
      <c r="E160" s="5"/>
      <c r="F160" s="43"/>
    </row>
    <row r="161" spans="5:6" hidden="1" x14ac:dyDescent="0.35">
      <c r="E161" s="5"/>
      <c r="F161" s="43"/>
    </row>
    <row r="162" spans="5:6" hidden="1" x14ac:dyDescent="0.35">
      <c r="E162" s="5"/>
      <c r="F162" s="43"/>
    </row>
    <row r="163" spans="5:6" hidden="1" x14ac:dyDescent="0.35">
      <c r="E163" s="5"/>
      <c r="F163" s="43"/>
    </row>
    <row r="164" spans="5:6" hidden="1" x14ac:dyDescent="0.35">
      <c r="E164" s="5"/>
      <c r="F164" s="43"/>
    </row>
    <row r="165" spans="5:6" hidden="1" x14ac:dyDescent="0.35">
      <c r="E165" s="5"/>
      <c r="F165" s="43"/>
    </row>
    <row r="166" spans="5:6" hidden="1" x14ac:dyDescent="0.35">
      <c r="E166" s="5"/>
      <c r="F166" s="43"/>
    </row>
    <row r="167" spans="5:6" hidden="1" x14ac:dyDescent="0.35">
      <c r="E167" s="5"/>
      <c r="F167" s="43"/>
    </row>
    <row r="168" spans="5:6" hidden="1" x14ac:dyDescent="0.35">
      <c r="E168" s="5"/>
      <c r="F168" s="43"/>
    </row>
    <row r="169" spans="5:6" hidden="1" x14ac:dyDescent="0.35">
      <c r="E169" s="5"/>
      <c r="F169" s="43"/>
    </row>
    <row r="170" spans="5:6" hidden="1" x14ac:dyDescent="0.35">
      <c r="E170" s="5"/>
      <c r="F170" s="43"/>
    </row>
    <row r="171" spans="5:6" hidden="1" x14ac:dyDescent="0.35">
      <c r="E171" s="5"/>
      <c r="F171" s="43"/>
    </row>
    <row r="172" spans="5:6" hidden="1" x14ac:dyDescent="0.35">
      <c r="E172" s="5"/>
      <c r="F172" s="43"/>
    </row>
    <row r="173" spans="5:6" hidden="1" x14ac:dyDescent="0.35">
      <c r="E173" s="5"/>
      <c r="F173" s="43"/>
    </row>
    <row r="174" spans="5:6" hidden="1" x14ac:dyDescent="0.35">
      <c r="E174" s="5"/>
      <c r="F174" s="43"/>
    </row>
    <row r="175" spans="5:6" hidden="1" x14ac:dyDescent="0.35">
      <c r="E175" s="5"/>
      <c r="F175" s="43"/>
    </row>
    <row r="176" spans="5:6" hidden="1" x14ac:dyDescent="0.35">
      <c r="E176" s="5"/>
      <c r="F176" s="43"/>
    </row>
    <row r="177" spans="5:6" hidden="1" x14ac:dyDescent="0.35">
      <c r="E177" s="5"/>
      <c r="F177" s="43"/>
    </row>
    <row r="178" spans="5:6" hidden="1" x14ac:dyDescent="0.35">
      <c r="E178" s="5"/>
      <c r="F178" s="43"/>
    </row>
    <row r="179" spans="5:6" hidden="1" x14ac:dyDescent="0.35">
      <c r="E179" s="5"/>
      <c r="F179" s="43"/>
    </row>
    <row r="180" spans="5:6" hidden="1" x14ac:dyDescent="0.35">
      <c r="E180" s="5"/>
      <c r="F180" s="43"/>
    </row>
    <row r="181" spans="5:6" hidden="1" x14ac:dyDescent="0.35">
      <c r="E181" s="5"/>
      <c r="F181" s="43"/>
    </row>
    <row r="182" spans="5:6" hidden="1" x14ac:dyDescent="0.35">
      <c r="E182" s="5"/>
      <c r="F182" s="43"/>
    </row>
    <row r="183" spans="5:6" hidden="1" x14ac:dyDescent="0.35">
      <c r="E183" s="5"/>
      <c r="F183" s="43"/>
    </row>
    <row r="184" spans="5:6" hidden="1" x14ac:dyDescent="0.35">
      <c r="E184" s="5"/>
      <c r="F184" s="43"/>
    </row>
    <row r="185" spans="5:6" hidden="1" x14ac:dyDescent="0.35">
      <c r="E185" s="5"/>
      <c r="F185" s="43"/>
    </row>
    <row r="186" spans="5:6" hidden="1" x14ac:dyDescent="0.35">
      <c r="E186" s="5"/>
      <c r="F186" s="43"/>
    </row>
    <row r="187" spans="5:6" hidden="1" x14ac:dyDescent="0.35">
      <c r="E187" s="5"/>
      <c r="F187" s="43"/>
    </row>
  </sheetData>
  <mergeCells count="1">
    <mergeCell ref="A2:A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B0B03-35DB-4760-8727-F4B33EA32A0B}">
  <sheetPr>
    <pageSetUpPr autoPageBreaks="0"/>
  </sheetPr>
  <dimension ref="A1:L56"/>
  <sheetViews>
    <sheetView topLeftCell="B14" zoomScale="80" zoomScaleNormal="80" workbookViewId="0">
      <selection activeCell="H46" sqref="H46"/>
    </sheetView>
  </sheetViews>
  <sheetFormatPr defaultColWidth="0" defaultRowHeight="14.5" zeroHeight="1" x14ac:dyDescent="0.35"/>
  <cols>
    <col min="1" max="1" width="4.36328125" customWidth="1"/>
    <col min="2" max="2" width="29.36328125" bestFit="1" customWidth="1"/>
    <col min="3" max="3" width="17.6328125" bestFit="1" customWidth="1"/>
    <col min="4" max="4" width="9.81640625" bestFit="1" customWidth="1"/>
    <col min="5" max="5" width="7.81640625" bestFit="1" customWidth="1"/>
    <col min="6" max="6" width="11.81640625" customWidth="1"/>
    <col min="7" max="7" width="11.6328125" customWidth="1"/>
    <col min="8" max="8" width="100.6328125" customWidth="1"/>
    <col min="9" max="12" width="15.6328125" hidden="1" customWidth="1"/>
    <col min="13" max="16384" width="8.6328125" hidden="1"/>
  </cols>
  <sheetData>
    <row r="1" spans="1:7" s="26" customFormat="1" ht="61.5" customHeight="1" x14ac:dyDescent="0.35"/>
    <row r="2" spans="1:7" x14ac:dyDescent="0.35">
      <c r="A2" s="9" t="s">
        <v>28</v>
      </c>
      <c r="B2" s="26"/>
      <c r="C2" s="26"/>
      <c r="D2" s="26"/>
      <c r="E2" s="26"/>
      <c r="F2" s="26"/>
      <c r="G2" s="26"/>
    </row>
    <row r="3" spans="1:7" x14ac:dyDescent="0.35">
      <c r="A3" s="26"/>
      <c r="B3" s="26"/>
      <c r="C3" s="26"/>
      <c r="D3" s="26"/>
      <c r="E3" s="83" t="s">
        <v>29</v>
      </c>
      <c r="F3" s="83"/>
      <c r="G3" s="83"/>
    </row>
    <row r="4" spans="1:7" x14ac:dyDescent="0.35">
      <c r="A4" s="26"/>
      <c r="B4" s="26" t="s">
        <v>14</v>
      </c>
      <c r="C4" s="21">
        <f>'Publication Format'!D12</f>
        <v>44762</v>
      </c>
      <c r="D4" s="26"/>
      <c r="E4" s="84" t="s">
        <v>30</v>
      </c>
      <c r="F4" s="84"/>
      <c r="G4" s="84"/>
    </row>
    <row r="5" spans="1:7" x14ac:dyDescent="0.35">
      <c r="A5" s="26"/>
      <c r="B5" s="26" t="s">
        <v>31</v>
      </c>
      <c r="C5" s="16" t="str">
        <f>IF(SUMIF('Elec Wc'!$D$23:$D$147,'Elec Calculations'!C4,'Elec Wc'!$A$23:$A$147)=1,"Yes","No")</f>
        <v>Yes</v>
      </c>
      <c r="D5" s="75" t="str">
        <f>IF(C5="No","Chosen date is not a trading day, therefore MSC formula does not work","")</f>
        <v/>
      </c>
      <c r="E5" s="85" t="s">
        <v>32</v>
      </c>
      <c r="F5" s="85"/>
      <c r="G5" s="85"/>
    </row>
    <row r="6" spans="1:7" x14ac:dyDescent="0.35">
      <c r="A6" s="26"/>
      <c r="B6" s="26" t="s">
        <v>33</v>
      </c>
      <c r="C6" s="21" t="s">
        <v>34</v>
      </c>
      <c r="D6" s="26"/>
      <c r="E6" s="86" t="s">
        <v>35</v>
      </c>
      <c r="F6" s="86"/>
      <c r="G6" s="86"/>
    </row>
    <row r="7" spans="1:7" x14ac:dyDescent="0.35">
      <c r="A7" s="26"/>
      <c r="B7" s="26"/>
      <c r="C7" s="26"/>
      <c r="D7" s="26"/>
      <c r="E7" s="26"/>
      <c r="F7" s="26"/>
      <c r="G7" s="26"/>
    </row>
    <row r="8" spans="1:7" x14ac:dyDescent="0.35">
      <c r="A8" s="26"/>
      <c r="B8" s="28" t="s">
        <v>36</v>
      </c>
      <c r="C8" s="9" t="s">
        <v>37</v>
      </c>
      <c r="D8" s="28" t="s">
        <v>38</v>
      </c>
      <c r="E8" s="26"/>
      <c r="F8" s="26"/>
      <c r="G8" s="26"/>
    </row>
    <row r="9" spans="1:7" x14ac:dyDescent="0.35">
      <c r="A9" s="26"/>
      <c r="B9" s="26" t="s">
        <v>39</v>
      </c>
      <c r="C9" s="24">
        <f>Wt*(1+C18)</f>
        <v>209.0430627199874</v>
      </c>
      <c r="D9" s="27" t="str">
        <f>IF($C$6=$C$32,"p/therm","£/MWh")</f>
        <v>£/MWh</v>
      </c>
      <c r="E9" s="26"/>
      <c r="F9" s="41"/>
      <c r="G9" s="26"/>
    </row>
    <row r="10" spans="1:7" x14ac:dyDescent="0.35">
      <c r="A10" s="26"/>
      <c r="B10" s="26" t="s">
        <v>40</v>
      </c>
      <c r="C10" s="24">
        <f>Wc*(1+C18)</f>
        <v>86.299844286609641</v>
      </c>
      <c r="D10" s="27" t="str">
        <f>IF($C$6=$C$32,"p/therm","£/MWh")</f>
        <v>£/MWh</v>
      </c>
      <c r="E10" s="26"/>
      <c r="F10" s="41"/>
      <c r="G10" s="41"/>
    </row>
    <row r="11" spans="1:7" x14ac:dyDescent="0.35">
      <c r="A11" s="26"/>
      <c r="B11" s="26" t="s">
        <v>41</v>
      </c>
      <c r="C11" s="24">
        <f>Wpc*(1+C18)</f>
        <v>232.27006968887491</v>
      </c>
      <c r="D11" s="27" t="str">
        <f>IF($C$6=$C$32,"p/therm","£/MWh")</f>
        <v>£/MWh</v>
      </c>
      <c r="E11" s="26"/>
      <c r="F11" s="41"/>
      <c r="G11" s="26"/>
    </row>
    <row r="12" spans="1:7" x14ac:dyDescent="0.35">
      <c r="A12" s="26"/>
      <c r="B12" s="26"/>
      <c r="D12" s="26"/>
      <c r="E12" s="26"/>
      <c r="F12" s="26"/>
      <c r="G12" s="26"/>
    </row>
    <row r="13" spans="1:7" x14ac:dyDescent="0.35">
      <c r="A13" s="26"/>
      <c r="B13" s="28" t="s">
        <v>42</v>
      </c>
      <c r="C13" t="str">
        <f>IF(C10&gt;C9,"No MSC","MSC Triggered")</f>
        <v>MSC Triggered</v>
      </c>
      <c r="D13" s="27"/>
      <c r="E13" s="26"/>
      <c r="F13" s="26"/>
      <c r="G13" s="26"/>
    </row>
    <row r="14" spans="1:7" x14ac:dyDescent="0.35">
      <c r="A14" s="26"/>
      <c r="B14" s="28" t="s">
        <v>43</v>
      </c>
      <c r="C14" t="str">
        <f>IF(C10&lt;=C9,"LSLT Triggered","LSLT Not Triggered")</f>
        <v>LSLT Triggered</v>
      </c>
      <c r="D14" s="26"/>
      <c r="E14" s="26"/>
      <c r="F14" s="26"/>
      <c r="G14" s="26"/>
    </row>
    <row r="15" spans="1:7" x14ac:dyDescent="0.35">
      <c r="A15" s="26"/>
      <c r="B15" s="26"/>
      <c r="C15" s="26"/>
      <c r="D15" s="27"/>
      <c r="E15" s="26"/>
      <c r="F15" s="26"/>
      <c r="G15" s="26"/>
    </row>
    <row r="16" spans="1:7" x14ac:dyDescent="0.35">
      <c r="A16" s="26"/>
      <c r="B16" s="26" t="s">
        <v>44</v>
      </c>
      <c r="C16" s="71">
        <f>IFERROR(VLOOKUP(C4,'Elec Wpc'!$D$22:$W$204,20,FALSE),"NA")</f>
        <v>0.86570247933884303</v>
      </c>
      <c r="D16" s="27"/>
      <c r="E16" s="26"/>
      <c r="F16" s="26"/>
      <c r="G16" s="26"/>
    </row>
    <row r="17" spans="1:7" x14ac:dyDescent="0.35">
      <c r="A17" s="26"/>
      <c r="B17" s="26"/>
      <c r="C17" s="26"/>
      <c r="D17" s="27"/>
      <c r="E17" s="26"/>
      <c r="F17" s="26"/>
      <c r="G17" s="26"/>
    </row>
    <row r="18" spans="1:7" x14ac:dyDescent="0.35">
      <c r="A18" s="26"/>
      <c r="B18" s="26" t="s">
        <v>45</v>
      </c>
      <c r="C18" s="69">
        <v>9.8799999999999999E-2</v>
      </c>
      <c r="D18" s="27"/>
      <c r="E18" s="26"/>
      <c r="F18" s="26"/>
      <c r="G18" s="26"/>
    </row>
    <row r="19" spans="1:7" x14ac:dyDescent="0.35">
      <c r="A19" s="26"/>
      <c r="B19" s="26"/>
      <c r="C19" s="26"/>
      <c r="D19" s="27"/>
      <c r="E19" s="26"/>
      <c r="F19" s="26"/>
      <c r="G19" s="26"/>
    </row>
    <row r="20" spans="1:7" x14ac:dyDescent="0.35">
      <c r="A20" s="26"/>
      <c r="B20" s="28" t="s">
        <v>46</v>
      </c>
      <c r="C20" s="26"/>
      <c r="D20" s="27"/>
      <c r="E20" s="26"/>
      <c r="F20" s="26"/>
      <c r="G20" s="26"/>
    </row>
    <row r="21" spans="1:7" x14ac:dyDescent="0.35">
      <c r="A21" s="26"/>
      <c r="B21" s="26" t="s">
        <v>47</v>
      </c>
      <c r="C21" s="42">
        <v>0.85</v>
      </c>
      <c r="D21" s="27" t="s">
        <v>48</v>
      </c>
      <c r="E21" s="26"/>
      <c r="F21" s="26"/>
      <c r="G21" s="26"/>
    </row>
    <row r="22" spans="1:7" x14ac:dyDescent="0.35">
      <c r="A22" s="26"/>
      <c r="B22" s="26" t="s">
        <v>49</v>
      </c>
      <c r="C22" s="18">
        <f>C16*(C9-C10)</f>
        <v>106.25910851980431</v>
      </c>
      <c r="D22" s="27" t="str">
        <f>IF($C$6=$C$32,"p/therm","£/MWh")</f>
        <v>£/MWh</v>
      </c>
      <c r="E22" s="26"/>
      <c r="F22" s="41"/>
      <c r="G22" s="26"/>
    </row>
    <row r="23" spans="1:7" x14ac:dyDescent="0.35">
      <c r="A23" s="26"/>
      <c r="B23" s="26" t="s">
        <v>50</v>
      </c>
      <c r="C23" s="42">
        <f>VLOOKUP(MONTH(C4),$A$39:$D$50,4,FALSE)</f>
        <v>0.68740999999999997</v>
      </c>
      <c r="D23" s="27" t="s">
        <v>48</v>
      </c>
      <c r="E23" s="26"/>
      <c r="F23" s="26"/>
      <c r="G23" s="26"/>
    </row>
    <row r="24" spans="1:7" x14ac:dyDescent="0.35">
      <c r="A24" s="26"/>
      <c r="B24" s="26" t="s">
        <v>51</v>
      </c>
      <c r="C24" s="18">
        <f>IF(C6=C32,0.3412,1)</f>
        <v>1</v>
      </c>
      <c r="D24" s="27" t="s">
        <v>52</v>
      </c>
      <c r="E24" s="26"/>
      <c r="F24" s="26"/>
      <c r="G24" s="26"/>
    </row>
    <row r="25" spans="1:7" x14ac:dyDescent="0.35">
      <c r="A25" s="26"/>
      <c r="B25" s="26"/>
      <c r="C25" s="26"/>
      <c r="D25" s="27"/>
      <c r="E25" s="26"/>
      <c r="F25" s="26"/>
      <c r="G25" s="26"/>
    </row>
    <row r="26" spans="1:7" x14ac:dyDescent="0.35">
      <c r="A26" s="26"/>
      <c r="B26" s="26" t="s">
        <v>53</v>
      </c>
      <c r="C26" s="70">
        <v>0.9</v>
      </c>
      <c r="D26" s="27" t="s">
        <v>48</v>
      </c>
      <c r="E26" s="26"/>
      <c r="F26" s="26"/>
      <c r="G26" s="26"/>
    </row>
    <row r="27" spans="1:7" x14ac:dyDescent="0.35">
      <c r="A27" s="26"/>
      <c r="B27" s="26"/>
      <c r="C27" s="26"/>
      <c r="D27" s="27"/>
      <c r="E27" s="26"/>
      <c r="F27" s="26"/>
      <c r="G27" s="26"/>
    </row>
    <row r="28" spans="1:7" x14ac:dyDescent="0.35">
      <c r="A28" s="26"/>
      <c r="B28" s="28" t="s">
        <v>54</v>
      </c>
      <c r="C28" s="24">
        <f>(C21*C22*C23*C24)</f>
        <v>62.087037719458877</v>
      </c>
      <c r="D28" s="27" t="s">
        <v>55</v>
      </c>
      <c r="E28" s="26"/>
      <c r="F28" s="26"/>
      <c r="G28" s="26"/>
    </row>
    <row r="29" spans="1:7" x14ac:dyDescent="0.35">
      <c r="A29" s="26"/>
      <c r="B29" s="26"/>
      <c r="C29" s="41"/>
      <c r="D29" s="27"/>
      <c r="E29" s="26"/>
      <c r="F29" s="26"/>
      <c r="G29" s="26"/>
    </row>
    <row r="30" spans="1:7" x14ac:dyDescent="0.35">
      <c r="A30" s="26"/>
      <c r="B30" s="26"/>
      <c r="C30" s="26"/>
      <c r="D30" s="26"/>
      <c r="E30" s="26"/>
      <c r="F30" s="26"/>
      <c r="G30" s="26"/>
    </row>
    <row r="31" spans="1:7" x14ac:dyDescent="0.35">
      <c r="A31" s="26"/>
      <c r="B31" s="26"/>
      <c r="C31" s="26"/>
      <c r="D31" s="26" t="s">
        <v>56</v>
      </c>
      <c r="E31" s="26"/>
      <c r="F31" s="26"/>
      <c r="G31" s="26"/>
    </row>
    <row r="32" spans="1:7" x14ac:dyDescent="0.35">
      <c r="A32" s="26"/>
      <c r="B32" s="82" t="s">
        <v>57</v>
      </c>
      <c r="C32" s="26" t="s">
        <v>58</v>
      </c>
      <c r="D32" s="26">
        <v>12</v>
      </c>
      <c r="E32" s="26"/>
      <c r="F32" s="26"/>
      <c r="G32" s="26"/>
    </row>
    <row r="33" spans="1:8" x14ac:dyDescent="0.35">
      <c r="A33" s="26"/>
      <c r="B33" s="82"/>
      <c r="C33" s="29" t="s">
        <v>34</v>
      </c>
      <c r="D33" s="26">
        <v>3.1</v>
      </c>
      <c r="E33" s="26"/>
      <c r="F33" s="26"/>
      <c r="G33" s="26"/>
      <c r="H33" s="26"/>
    </row>
    <row r="34" spans="1:8" x14ac:dyDescent="0.35">
      <c r="A34" s="26"/>
      <c r="B34" s="26" t="str">
        <f>"Price cap index "&amp;C6&amp;" "&amp;D11</f>
        <v>Price cap index Electric £/MWh</v>
      </c>
      <c r="C34" s="26"/>
      <c r="D34" s="26"/>
      <c r="E34" s="26"/>
      <c r="F34" s="26"/>
      <c r="G34" s="26"/>
      <c r="H34" s="26"/>
    </row>
    <row r="35" spans="1:8" x14ac:dyDescent="0.35">
      <c r="A35" s="26"/>
      <c r="B35" s="26" t="str">
        <f>"Wholesale "&amp;C6&amp;" cost "&amp;D11</f>
        <v>Wholesale Electric cost £/MWh</v>
      </c>
      <c r="C35" s="26"/>
      <c r="D35" s="26"/>
      <c r="E35" s="26"/>
      <c r="F35" s="26"/>
      <c r="G35" s="26"/>
    </row>
    <row r="36" spans="1:8" x14ac:dyDescent="0.35">
      <c r="A36" s="26"/>
      <c r="C36" s="26"/>
      <c r="D36" s="26"/>
      <c r="E36" s="26"/>
      <c r="F36" s="26"/>
      <c r="G36" s="26"/>
      <c r="H36" s="26"/>
    </row>
    <row r="37" spans="1:8" x14ac:dyDescent="0.35">
      <c r="A37" s="81" t="s">
        <v>59</v>
      </c>
      <c r="B37" s="81"/>
      <c r="C37" s="81"/>
      <c r="D37" s="81"/>
      <c r="E37" s="81"/>
      <c r="F37" s="81"/>
      <c r="G37" s="81"/>
      <c r="H37" s="26"/>
    </row>
    <row r="38" spans="1:8" x14ac:dyDescent="0.35">
      <c r="A38" s="22"/>
      <c r="B38" s="23" t="s">
        <v>60</v>
      </c>
      <c r="C38" s="23" t="s">
        <v>61</v>
      </c>
      <c r="D38" s="23" t="s">
        <v>62</v>
      </c>
      <c r="E38" s="23" t="s">
        <v>58</v>
      </c>
      <c r="F38" s="23" t="s">
        <v>63</v>
      </c>
      <c r="G38" s="23" t="s">
        <v>64</v>
      </c>
      <c r="H38" s="26"/>
    </row>
    <row r="39" spans="1:8" x14ac:dyDescent="0.35">
      <c r="A39" s="7">
        <v>1</v>
      </c>
      <c r="B39" s="7" t="s">
        <v>65</v>
      </c>
      <c r="C39" s="76">
        <v>0.10346</v>
      </c>
      <c r="D39" s="76">
        <f>SUM(C39:C46)</f>
        <v>0.64409000000000005</v>
      </c>
      <c r="E39" s="76">
        <v>0.15756999999999999</v>
      </c>
      <c r="F39" s="76">
        <f>SUM(E39:E46)</f>
        <v>0.63384000000000007</v>
      </c>
      <c r="G39" s="15">
        <f>AVERAGE(C39,E39)</f>
        <v>0.13051499999999999</v>
      </c>
      <c r="H39" s="26"/>
    </row>
    <row r="40" spans="1:8" x14ac:dyDescent="0.35">
      <c r="A40" s="6">
        <v>2</v>
      </c>
      <c r="B40" s="6" t="s">
        <v>66</v>
      </c>
      <c r="C40" s="77">
        <v>9.0359999999999996E-2</v>
      </c>
      <c r="D40" s="77">
        <f>SUM(C40:C47)</f>
        <v>0.61328999999999989</v>
      </c>
      <c r="E40" s="77">
        <v>0.13800000000000001</v>
      </c>
      <c r="F40" s="77">
        <f>SUM(E40:E47)</f>
        <v>0.50861999999999996</v>
      </c>
      <c r="G40" s="14">
        <f t="shared" ref="G40:G50" si="0">AVERAGE(C40,E40)</f>
        <v>0.11418</v>
      </c>
      <c r="H40" s="26"/>
    </row>
    <row r="41" spans="1:8" x14ac:dyDescent="0.35">
      <c r="A41" s="7">
        <v>3</v>
      </c>
      <c r="B41" s="7" t="s">
        <v>67</v>
      </c>
      <c r="C41" s="76">
        <v>9.3740000000000004E-2</v>
      </c>
      <c r="D41" s="76">
        <f>SUM(C41:C48)</f>
        <v>0.6077999999999999</v>
      </c>
      <c r="E41" s="76">
        <v>0.12769</v>
      </c>
      <c r="F41" s="76">
        <f>SUM(E41:E48)</f>
        <v>0.44229999999999992</v>
      </c>
      <c r="G41" s="15">
        <f t="shared" si="0"/>
        <v>0.11071500000000001</v>
      </c>
      <c r="H41" s="26"/>
    </row>
    <row r="42" spans="1:8" x14ac:dyDescent="0.35">
      <c r="A42" s="6">
        <v>4</v>
      </c>
      <c r="B42" s="6" t="s">
        <v>68</v>
      </c>
      <c r="C42" s="77">
        <v>7.6920000000000002E-2</v>
      </c>
      <c r="D42" s="77">
        <f>SUM(C42:C49)</f>
        <v>0.60877999999999999</v>
      </c>
      <c r="E42" s="77">
        <v>8.5760000000000003E-2</v>
      </c>
      <c r="F42" s="77">
        <f>SUM(E42:E49)</f>
        <v>0.42947999999999997</v>
      </c>
      <c r="G42" s="14">
        <f t="shared" si="0"/>
        <v>8.1339999999999996E-2</v>
      </c>
      <c r="H42" s="26"/>
    </row>
    <row r="43" spans="1:8" x14ac:dyDescent="0.35">
      <c r="A43" s="7">
        <v>5</v>
      </c>
      <c r="B43" s="7" t="s">
        <v>69</v>
      </c>
      <c r="C43" s="76">
        <v>7.3719999999999994E-2</v>
      </c>
      <c r="D43" s="76">
        <f>SUM(C43:C50)</f>
        <v>0.63551999999999997</v>
      </c>
      <c r="E43" s="76">
        <v>5.2290000000000003E-2</v>
      </c>
      <c r="F43" s="76">
        <f>SUM(E43:E50)</f>
        <v>0.49098000000000003</v>
      </c>
      <c r="G43" s="15">
        <f t="shared" si="0"/>
        <v>6.3005000000000005E-2</v>
      </c>
      <c r="H43" s="26"/>
    </row>
    <row r="44" spans="1:8" x14ac:dyDescent="0.35">
      <c r="A44" s="6">
        <v>6</v>
      </c>
      <c r="B44" s="6" t="s">
        <v>70</v>
      </c>
      <c r="C44" s="77">
        <v>6.8210000000000007E-2</v>
      </c>
      <c r="D44" s="77">
        <f>SUM(C44:C50)+C39</f>
        <v>0.66525999999999996</v>
      </c>
      <c r="E44" s="77">
        <v>2.8920000000000001E-2</v>
      </c>
      <c r="F44" s="77">
        <f>SUM(E44:E50)+E39</f>
        <v>0.59626000000000001</v>
      </c>
      <c r="G44" s="14">
        <f t="shared" si="0"/>
        <v>4.8565000000000004E-2</v>
      </c>
      <c r="H44" s="26"/>
    </row>
    <row r="45" spans="1:8" x14ac:dyDescent="0.35">
      <c r="A45" s="7">
        <v>7</v>
      </c>
      <c r="B45" s="7" t="s">
        <v>71</v>
      </c>
      <c r="C45" s="76">
        <v>6.8879999999999997E-2</v>
      </c>
      <c r="D45" s="76">
        <f>SUM(C45:C50)+SUM(C39:C40)</f>
        <v>0.68740999999999997</v>
      </c>
      <c r="E45" s="76">
        <v>2.2030000000000001E-2</v>
      </c>
      <c r="F45" s="76">
        <f>SUM(E45:E50)+SUM(E39:E40)</f>
        <v>0.70534000000000008</v>
      </c>
      <c r="G45" s="15">
        <f t="shared" si="0"/>
        <v>4.5454999999999995E-2</v>
      </c>
      <c r="H45" s="26"/>
    </row>
    <row r="46" spans="1:8" x14ac:dyDescent="0.35">
      <c r="A46" s="6">
        <v>8</v>
      </c>
      <c r="B46" s="6" t="s">
        <v>72</v>
      </c>
      <c r="C46" s="77">
        <v>6.88E-2</v>
      </c>
      <c r="D46" s="77">
        <f>SUM(C46:C50)+SUM(C39:C41)</f>
        <v>0.71226999999999996</v>
      </c>
      <c r="E46" s="77">
        <v>2.1579999999999998E-2</v>
      </c>
      <c r="F46" s="77">
        <f>SUM(E46:E50)+SUM(E39:E41)</f>
        <v>0.81099999999999994</v>
      </c>
      <c r="G46" s="14">
        <f t="shared" si="0"/>
        <v>4.5190000000000001E-2</v>
      </c>
      <c r="H46" s="26"/>
    </row>
    <row r="47" spans="1:8" x14ac:dyDescent="0.35">
      <c r="A47" s="7">
        <v>9</v>
      </c>
      <c r="B47" s="7" t="s">
        <v>73</v>
      </c>
      <c r="C47" s="76">
        <v>7.2660000000000002E-2</v>
      </c>
      <c r="D47" s="76">
        <f>SUM(C47:C50)+SUM(C39:C42)</f>
        <v>0.72038999999999986</v>
      </c>
      <c r="E47" s="76">
        <v>3.2349999999999997E-2</v>
      </c>
      <c r="F47" s="76">
        <f>SUM(E47:E50)+SUM(E39:E42)</f>
        <v>0.87518000000000007</v>
      </c>
      <c r="G47" s="15">
        <f t="shared" si="0"/>
        <v>5.2504999999999996E-2</v>
      </c>
      <c r="H47" s="26"/>
    </row>
    <row r="48" spans="1:8" x14ac:dyDescent="0.35">
      <c r="A48" s="6">
        <v>10</v>
      </c>
      <c r="B48" s="6" t="s">
        <v>74</v>
      </c>
      <c r="C48" s="77">
        <v>8.4870000000000001E-2</v>
      </c>
      <c r="D48" s="77">
        <f>SUM(C48:C50)+SUM(C39:C43)</f>
        <v>0.72144999999999992</v>
      </c>
      <c r="E48" s="77">
        <v>7.1679999999999994E-2</v>
      </c>
      <c r="F48" s="77">
        <f>SUM(E48:E50)+SUM(E39:E43)</f>
        <v>0.89511999999999992</v>
      </c>
      <c r="G48" s="14">
        <f t="shared" si="0"/>
        <v>7.8274999999999997E-2</v>
      </c>
      <c r="H48" s="26"/>
    </row>
    <row r="49" spans="1:8" x14ac:dyDescent="0.35">
      <c r="A49" s="7">
        <v>11</v>
      </c>
      <c r="B49" s="7" t="s">
        <v>75</v>
      </c>
      <c r="C49" s="76">
        <v>9.4719999999999999E-2</v>
      </c>
      <c r="D49" s="76">
        <f>SUM(C49:C50)+SUM(C39:C44)</f>
        <v>0.70479000000000003</v>
      </c>
      <c r="E49" s="76">
        <v>0.11487</v>
      </c>
      <c r="F49" s="76">
        <f>SUM(E49:E50)+SUM(E39:E44)</f>
        <v>0.85236000000000001</v>
      </c>
      <c r="G49" s="15">
        <f t="shared" si="0"/>
        <v>0.104795</v>
      </c>
      <c r="H49" s="26"/>
    </row>
    <row r="50" spans="1:8" x14ac:dyDescent="0.35">
      <c r="A50" s="6">
        <v>12</v>
      </c>
      <c r="B50" s="6" t="s">
        <v>76</v>
      </c>
      <c r="C50" s="77">
        <v>0.10366</v>
      </c>
      <c r="D50" s="77">
        <f>SUM(C50)+SUM(C39:C45)</f>
        <v>0.67895000000000005</v>
      </c>
      <c r="E50" s="77">
        <v>0.14726</v>
      </c>
      <c r="F50" s="77">
        <f>SUM(E50)+SUM(E39:E45)</f>
        <v>0.75951999999999997</v>
      </c>
      <c r="G50" s="14">
        <f t="shared" si="0"/>
        <v>0.12546000000000002</v>
      </c>
      <c r="H50" s="26"/>
    </row>
    <row r="51" spans="1:8" x14ac:dyDescent="0.35">
      <c r="A51" s="26"/>
      <c r="B51" s="26"/>
      <c r="C51" s="26"/>
      <c r="D51" s="26"/>
      <c r="E51" s="26"/>
      <c r="F51" s="26"/>
      <c r="G51" s="26"/>
      <c r="H51" s="26"/>
    </row>
    <row r="52" spans="1:8" x14ac:dyDescent="0.35">
      <c r="A52" s="26"/>
      <c r="B52" s="26"/>
      <c r="C52" s="26"/>
      <c r="D52" s="26"/>
      <c r="E52" s="26"/>
      <c r="F52" s="26"/>
      <c r="G52" s="26"/>
      <c r="H52" s="26"/>
    </row>
    <row r="53" spans="1:8" x14ac:dyDescent="0.35">
      <c r="A53" s="26"/>
      <c r="B53" s="26"/>
      <c r="C53" s="26"/>
      <c r="D53" s="26"/>
      <c r="E53" s="26"/>
      <c r="F53" s="26"/>
      <c r="G53" s="26"/>
      <c r="H53" s="26"/>
    </row>
    <row r="54" spans="1:8" x14ac:dyDescent="0.35">
      <c r="A54" s="26"/>
      <c r="B54" s="26"/>
      <c r="C54" s="26"/>
      <c r="D54" s="26"/>
      <c r="E54" s="26"/>
      <c r="F54" s="26"/>
      <c r="G54" s="26"/>
      <c r="H54" s="26"/>
    </row>
    <row r="55" spans="1:8" x14ac:dyDescent="0.35">
      <c r="A55" s="26"/>
      <c r="B55" s="26"/>
      <c r="C55" s="26"/>
      <c r="D55" s="26"/>
      <c r="E55" s="26"/>
      <c r="F55" s="26"/>
      <c r="G55" s="26"/>
      <c r="H55" s="26"/>
    </row>
    <row r="56" spans="1:8" x14ac:dyDescent="0.35">
      <c r="A56" s="26"/>
      <c r="B56" s="26"/>
      <c r="C56" s="26"/>
      <c r="D56" s="26"/>
      <c r="E56" s="26"/>
      <c r="F56" s="26"/>
      <c r="G56" s="26"/>
      <c r="H56" s="26"/>
    </row>
  </sheetData>
  <mergeCells count="6">
    <mergeCell ref="A37:G37"/>
    <mergeCell ref="B32:B33"/>
    <mergeCell ref="E3:G3"/>
    <mergeCell ref="E4:G4"/>
    <mergeCell ref="E5:G5"/>
    <mergeCell ref="E6:G6"/>
  </mergeCells>
  <conditionalFormatting sqref="C5">
    <cfRule type="cellIs" dxfId="15" priority="5" operator="equal">
      <formula>"Yes"</formula>
    </cfRule>
    <cfRule type="cellIs" dxfId="14" priority="6" operator="equal">
      <formula>"No"</formula>
    </cfRule>
  </conditionalFormatting>
  <conditionalFormatting sqref="C13:C14">
    <cfRule type="cellIs" dxfId="13" priority="4" operator="equal">
      <formula>"LSLT Triggered"</formula>
    </cfRule>
  </conditionalFormatting>
  <conditionalFormatting sqref="C13">
    <cfRule type="cellIs" dxfId="12" priority="2" operator="equal">
      <formula>"MSC Triggered"</formula>
    </cfRule>
    <cfRule type="cellIs" dxfId="11" priority="3" operator="equal">
      <formula>"No MSC"</formula>
    </cfRule>
  </conditionalFormatting>
  <conditionalFormatting sqref="C14">
    <cfRule type="cellIs" dxfId="10" priority="1" operator="equal">
      <formula>"LSLT Not Triggered"</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85CD-F54A-4C4D-A8B9-2BC252F2142D}">
  <sheetPr>
    <pageSetUpPr autoPageBreaks="0"/>
  </sheetPr>
  <dimension ref="A1:AJ205"/>
  <sheetViews>
    <sheetView zoomScale="80" zoomScaleNormal="80" workbookViewId="0">
      <selection activeCell="W20" sqref="W20"/>
    </sheetView>
  </sheetViews>
  <sheetFormatPr defaultColWidth="0" defaultRowHeight="14.5" zeroHeight="1" x14ac:dyDescent="0.35"/>
  <cols>
    <col min="1" max="1" width="3.08984375" style="26" customWidth="1"/>
    <col min="2" max="2" width="6.81640625" bestFit="1" customWidth="1"/>
    <col min="3" max="3" width="14.6328125" customWidth="1"/>
    <col min="4" max="4" width="14.36328125" customWidth="1"/>
    <col min="5" max="5" width="8.6328125" customWidth="1"/>
    <col min="6" max="6" width="7.81640625" customWidth="1"/>
    <col min="7" max="8" width="7.81640625" style="50" customWidth="1"/>
    <col min="9" max="10" width="7.6328125" style="50" customWidth="1"/>
    <col min="11" max="16" width="7.6328125" customWidth="1"/>
    <col min="17" max="17" width="17.6328125" customWidth="1"/>
    <col min="18" max="18" width="7.6328125" customWidth="1"/>
    <col min="19" max="19" width="8.36328125" customWidth="1"/>
    <col min="20" max="20" width="8.36328125" bestFit="1" customWidth="1"/>
    <col min="21" max="21" width="14.26953125" bestFit="1" customWidth="1"/>
    <col min="22" max="22" width="13.7265625" style="26" customWidth="1"/>
    <col min="23" max="23" width="13.36328125" style="26" customWidth="1"/>
    <col min="24" max="24" width="21.08984375" style="26" customWidth="1"/>
    <col min="25" max="25" width="19.6328125" style="26" customWidth="1"/>
    <col min="26" max="26" width="15.81640625" style="26" customWidth="1"/>
    <col min="27" max="27" width="11.81640625" style="26" customWidth="1"/>
    <col min="28" max="28" width="14.36328125" style="26" bestFit="1" customWidth="1"/>
    <col min="29" max="29" width="16.08984375" style="26" bestFit="1" customWidth="1"/>
    <col min="30" max="30" width="14.81640625" style="26" bestFit="1" customWidth="1"/>
    <col min="31" max="31" width="25.6328125" style="26" bestFit="1" customWidth="1"/>
    <col min="32" max="32" width="24.36328125" style="26" bestFit="1" customWidth="1"/>
    <col min="33" max="34" width="18.6328125" style="26" bestFit="1" customWidth="1"/>
    <col min="35" max="35" width="13.08984375" style="26" bestFit="1" customWidth="1"/>
    <col min="36" max="36" width="0" style="26" hidden="1" customWidth="1"/>
    <col min="37" max="16384" width="8.6328125" style="26" hidden="1"/>
  </cols>
  <sheetData>
    <row r="1" spans="1:35" ht="62.15" customHeight="1" x14ac:dyDescent="0.35">
      <c r="B1" s="26"/>
      <c r="C1" s="26"/>
      <c r="D1" s="26"/>
      <c r="E1" s="26"/>
      <c r="F1" s="26"/>
      <c r="G1" s="26"/>
      <c r="H1" s="26"/>
      <c r="I1" s="26"/>
      <c r="J1" s="26"/>
      <c r="K1" s="26"/>
      <c r="L1" s="26"/>
      <c r="M1" s="26"/>
      <c r="N1" s="26"/>
      <c r="O1" s="26"/>
      <c r="P1" s="26"/>
      <c r="Q1" s="26"/>
      <c r="R1" s="26"/>
      <c r="S1" s="26"/>
      <c r="T1" s="26"/>
      <c r="U1" s="26"/>
    </row>
    <row r="2" spans="1:35" customFormat="1" x14ac:dyDescent="0.35">
      <c r="A2" s="28" t="s">
        <v>77</v>
      </c>
      <c r="B2" s="2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5" customFormat="1" x14ac:dyDescent="0.3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35" customFormat="1" x14ac:dyDescent="0.3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35" customFormat="1" ht="26.5" x14ac:dyDescent="0.35">
      <c r="A5" s="26"/>
      <c r="B5" s="26"/>
      <c r="C5" s="28" t="s">
        <v>36</v>
      </c>
      <c r="D5" s="28" t="s">
        <v>37</v>
      </c>
      <c r="E5" s="28" t="s">
        <v>78</v>
      </c>
      <c r="F5" s="26"/>
      <c r="G5" s="26"/>
      <c r="H5" s="26"/>
      <c r="I5" s="26"/>
      <c r="J5" s="26"/>
      <c r="K5" s="26"/>
      <c r="L5" s="26"/>
      <c r="M5" s="26"/>
      <c r="N5" s="26"/>
      <c r="O5" s="26"/>
      <c r="P5" s="26"/>
      <c r="Q5" s="26"/>
      <c r="R5" s="26"/>
      <c r="S5" s="26"/>
      <c r="T5" s="26"/>
      <c r="U5" s="26"/>
      <c r="V5" s="26"/>
      <c r="W5" s="26"/>
      <c r="X5" s="35" t="s">
        <v>79</v>
      </c>
      <c r="Y5" s="35" t="s">
        <v>80</v>
      </c>
      <c r="Z5" s="35" t="s">
        <v>81</v>
      </c>
      <c r="AA5" s="35" t="s">
        <v>82</v>
      </c>
      <c r="AB5" s="35" t="s">
        <v>83</v>
      </c>
      <c r="AC5" s="35" t="s">
        <v>84</v>
      </c>
      <c r="AD5" s="35" t="s">
        <v>85</v>
      </c>
      <c r="AE5" s="35" t="s">
        <v>86</v>
      </c>
      <c r="AF5" s="35" t="s">
        <v>87</v>
      </c>
      <c r="AG5" s="35" t="s">
        <v>88</v>
      </c>
      <c r="AH5" s="35" t="s">
        <v>88</v>
      </c>
      <c r="AI5" s="35" t="s">
        <v>89</v>
      </c>
    </row>
    <row r="6" spans="1:35" customFormat="1" ht="16.5" x14ac:dyDescent="0.45">
      <c r="A6" s="26"/>
      <c r="B6" s="26"/>
      <c r="C6" s="26" t="s">
        <v>90</v>
      </c>
      <c r="D6" s="54">
        <v>125.19</v>
      </c>
      <c r="E6" s="27" t="str">
        <f>IF('Elec Calculations'!$C$6='Elec Calculations'!$C$32,"p/therm","£/MWh")</f>
        <v>£/MWh</v>
      </c>
      <c r="F6" s="78" t="s">
        <v>91</v>
      </c>
      <c r="G6" s="26"/>
      <c r="H6" s="26"/>
      <c r="I6" s="26"/>
      <c r="J6" s="26"/>
      <c r="K6" s="26"/>
      <c r="L6" s="26"/>
      <c r="M6" s="26"/>
      <c r="N6" s="26"/>
      <c r="O6" s="26"/>
      <c r="P6" s="26"/>
      <c r="Q6" s="26"/>
      <c r="R6" s="26"/>
      <c r="S6" s="26"/>
      <c r="T6" s="26"/>
      <c r="U6" s="26"/>
      <c r="V6" s="1" t="s">
        <v>92</v>
      </c>
      <c r="W6" s="1" t="s">
        <v>93</v>
      </c>
      <c r="X6" s="2">
        <v>43132</v>
      </c>
      <c r="Y6" s="2">
        <v>43312</v>
      </c>
      <c r="Z6" s="6">
        <f>Y6-X6</f>
        <v>180</v>
      </c>
      <c r="AA6" s="2">
        <f t="shared" ref="AA6:AA7" si="0">Y6+1</f>
        <v>43313</v>
      </c>
      <c r="AB6" s="2">
        <f t="shared" ref="AB6:AB7" si="1">AC6-1</f>
        <v>43373</v>
      </c>
      <c r="AC6" s="2">
        <v>43374</v>
      </c>
      <c r="AD6" s="2">
        <v>43555</v>
      </c>
      <c r="AE6" s="2">
        <f t="shared" ref="AE6:AE15" si="2">AC6</f>
        <v>43374</v>
      </c>
      <c r="AF6" s="2">
        <f>AD7</f>
        <v>43738</v>
      </c>
      <c r="AG6" s="2">
        <f>AC6</f>
        <v>43374</v>
      </c>
      <c r="AH6" s="2">
        <v>43555</v>
      </c>
      <c r="AI6" s="6">
        <f>AH6-AG6</f>
        <v>181</v>
      </c>
    </row>
    <row r="7" spans="1:35" customFormat="1" ht="16.5" x14ac:dyDescent="0.45">
      <c r="A7" s="26"/>
      <c r="B7" s="26"/>
      <c r="C7" s="26" t="s">
        <v>94</v>
      </c>
      <c r="D7" s="54">
        <v>250.62</v>
      </c>
      <c r="E7" s="27" t="str">
        <f>IF('Elec Calculations'!$C$6='Elec Calculations'!$C$32,"p/therm","£/MWh")</f>
        <v>£/MWh</v>
      </c>
      <c r="F7" s="78" t="s">
        <v>91</v>
      </c>
      <c r="G7" s="26"/>
      <c r="H7" s="26"/>
      <c r="I7" s="26"/>
      <c r="J7" s="26"/>
      <c r="K7" s="26"/>
      <c r="L7" s="26"/>
      <c r="M7" s="26"/>
      <c r="N7" s="26"/>
      <c r="O7" s="26"/>
      <c r="P7" s="26"/>
      <c r="Q7" s="26"/>
      <c r="R7" s="26"/>
      <c r="S7" s="26"/>
      <c r="T7" s="26"/>
      <c r="U7" s="26"/>
      <c r="V7" s="3" t="s">
        <v>95</v>
      </c>
      <c r="W7" s="3" t="s">
        <v>96</v>
      </c>
      <c r="X7" s="4">
        <f t="shared" ref="X7" si="3">Y6+1</f>
        <v>43313</v>
      </c>
      <c r="Y7" s="4">
        <v>43496</v>
      </c>
      <c r="Z7" s="7">
        <f t="shared" ref="Z7" si="4">Y7-X7</f>
        <v>183</v>
      </c>
      <c r="AA7" s="4">
        <f t="shared" si="0"/>
        <v>43497</v>
      </c>
      <c r="AB7" s="4">
        <f t="shared" si="1"/>
        <v>43555</v>
      </c>
      <c r="AC7" s="4">
        <f t="shared" ref="AC7" si="5">AD6+1</f>
        <v>43556</v>
      </c>
      <c r="AD7" s="4">
        <v>43738</v>
      </c>
      <c r="AE7" s="4">
        <f t="shared" si="2"/>
        <v>43556</v>
      </c>
      <c r="AF7" s="4">
        <f>AD8</f>
        <v>43921</v>
      </c>
      <c r="AG7" s="4">
        <f>AC7</f>
        <v>43556</v>
      </c>
      <c r="AH7" s="4">
        <v>43738</v>
      </c>
      <c r="AI7" s="7">
        <f t="shared" ref="AI7" si="6">AH7-AG7</f>
        <v>182</v>
      </c>
    </row>
    <row r="8" spans="1:35" customFormat="1" ht="16.5" x14ac:dyDescent="0.45">
      <c r="A8" s="26"/>
      <c r="B8" s="26"/>
      <c r="C8" s="26" t="s">
        <v>97</v>
      </c>
      <c r="D8" s="54">
        <v>180.58</v>
      </c>
      <c r="E8" s="27" t="str">
        <f>IF('Elec Calculations'!$C$6='Elec Calculations'!$C$32,"p/therm","£/MWh")</f>
        <v>£/MWh</v>
      </c>
      <c r="F8" s="78" t="s">
        <v>91</v>
      </c>
      <c r="G8" s="26"/>
      <c r="H8" s="26"/>
      <c r="I8" s="26"/>
      <c r="J8" s="26"/>
      <c r="K8" s="26"/>
      <c r="L8" s="26"/>
      <c r="M8" s="26"/>
      <c r="N8" s="26"/>
      <c r="O8" s="26"/>
      <c r="P8" s="26"/>
      <c r="Q8" s="26"/>
      <c r="R8" s="26"/>
      <c r="S8" s="26"/>
      <c r="T8" s="26"/>
      <c r="U8" s="26"/>
      <c r="V8" s="1" t="s">
        <v>98</v>
      </c>
      <c r="W8" s="1" t="s">
        <v>99</v>
      </c>
      <c r="X8" s="2">
        <f t="shared" ref="X8:X15" si="7">Y7+1</f>
        <v>43497</v>
      </c>
      <c r="Y8" s="2">
        <v>43677</v>
      </c>
      <c r="Z8" s="6">
        <f t="shared" ref="Z8:Z15" si="8">Y8-X8</f>
        <v>180</v>
      </c>
      <c r="AA8" s="2">
        <f t="shared" ref="AA8:AA15" si="9">Y8+1</f>
        <v>43678</v>
      </c>
      <c r="AB8" s="2">
        <f t="shared" ref="AB8:AB15" si="10">AC8-1</f>
        <v>43738</v>
      </c>
      <c r="AC8" s="2">
        <f t="shared" ref="AC8:AC15" si="11">AD7+1</f>
        <v>43739</v>
      </c>
      <c r="AD8" s="2">
        <v>43921</v>
      </c>
      <c r="AE8" s="2">
        <f t="shared" si="2"/>
        <v>43739</v>
      </c>
      <c r="AF8" s="2">
        <f t="shared" ref="AF8:AF14" si="12">AD9</f>
        <v>44104</v>
      </c>
      <c r="AG8" s="2">
        <f t="shared" ref="AG8:AG15" si="13">AC8</f>
        <v>43739</v>
      </c>
      <c r="AH8" s="2">
        <v>43921</v>
      </c>
      <c r="AI8" s="6">
        <f t="shared" ref="AI8:AI15" si="14">AH8-AG8</f>
        <v>182</v>
      </c>
    </row>
    <row r="9" spans="1:35" customFormat="1" ht="16.5" x14ac:dyDescent="0.45">
      <c r="A9" s="26"/>
      <c r="B9" s="26"/>
      <c r="C9" s="26" t="s">
        <v>100</v>
      </c>
      <c r="D9" s="33">
        <f>IF('Elec Calculations'!C6='Elec Calculations'!C32,D17,D16)</f>
        <v>0.42918465416463569</v>
      </c>
      <c r="E9" s="27" t="s">
        <v>48</v>
      </c>
      <c r="F9" s="78" t="s">
        <v>101</v>
      </c>
      <c r="G9" s="26"/>
      <c r="H9" s="26"/>
      <c r="I9" s="26"/>
      <c r="J9" s="26"/>
      <c r="K9" s="26"/>
      <c r="L9" s="26"/>
      <c r="M9" s="26"/>
      <c r="N9" s="26"/>
      <c r="O9" s="26"/>
      <c r="P9" s="26"/>
      <c r="Q9" s="26"/>
      <c r="R9" s="26"/>
      <c r="S9" s="26"/>
      <c r="T9" s="26"/>
      <c r="U9" s="26"/>
      <c r="V9" s="3" t="s">
        <v>102</v>
      </c>
      <c r="W9" s="3" t="s">
        <v>103</v>
      </c>
      <c r="X9" s="4">
        <f t="shared" si="7"/>
        <v>43678</v>
      </c>
      <c r="Y9" s="4">
        <v>43861</v>
      </c>
      <c r="Z9" s="7">
        <f t="shared" si="8"/>
        <v>183</v>
      </c>
      <c r="AA9" s="4">
        <f t="shared" si="9"/>
        <v>43862</v>
      </c>
      <c r="AB9" s="4">
        <f t="shared" si="10"/>
        <v>43921</v>
      </c>
      <c r="AC9" s="4">
        <f t="shared" si="11"/>
        <v>43922</v>
      </c>
      <c r="AD9" s="4">
        <v>44104</v>
      </c>
      <c r="AE9" s="4">
        <f t="shared" si="2"/>
        <v>43922</v>
      </c>
      <c r="AF9" s="4">
        <f t="shared" si="12"/>
        <v>44286</v>
      </c>
      <c r="AG9" s="4">
        <f t="shared" si="13"/>
        <v>43922</v>
      </c>
      <c r="AH9" s="4">
        <v>44104</v>
      </c>
      <c r="AI9" s="7">
        <f t="shared" si="14"/>
        <v>182</v>
      </c>
    </row>
    <row r="10" spans="1:35" customFormat="1" ht="16.5" x14ac:dyDescent="0.45">
      <c r="A10" s="26"/>
      <c r="B10" s="26"/>
      <c r="C10" s="26" t="s">
        <v>104</v>
      </c>
      <c r="D10" s="33">
        <f>IF('Elec Calculations'!C6='Elec Calculations'!C32,E17,E16)</f>
        <v>0.57081534583536431</v>
      </c>
      <c r="E10" s="27" t="s">
        <v>48</v>
      </c>
      <c r="F10" s="78" t="s">
        <v>105</v>
      </c>
      <c r="G10" s="26"/>
      <c r="H10" s="26"/>
      <c r="I10" s="26"/>
      <c r="J10" s="26"/>
      <c r="K10" s="26"/>
      <c r="L10" s="26"/>
      <c r="M10" s="26"/>
      <c r="N10" s="26"/>
      <c r="O10" s="26"/>
      <c r="P10" s="26"/>
      <c r="Q10" s="26"/>
      <c r="R10" s="26"/>
      <c r="S10" s="26"/>
      <c r="T10" s="26"/>
      <c r="U10" s="26"/>
      <c r="V10" s="1" t="s">
        <v>106</v>
      </c>
      <c r="W10" s="1" t="s">
        <v>107</v>
      </c>
      <c r="X10" s="2">
        <f t="shared" si="7"/>
        <v>43862</v>
      </c>
      <c r="Y10" s="2">
        <v>44043</v>
      </c>
      <c r="Z10" s="6">
        <f t="shared" si="8"/>
        <v>181</v>
      </c>
      <c r="AA10" s="2">
        <f t="shared" si="9"/>
        <v>44044</v>
      </c>
      <c r="AB10" s="2">
        <f t="shared" si="10"/>
        <v>44104</v>
      </c>
      <c r="AC10" s="2">
        <f t="shared" si="11"/>
        <v>44105</v>
      </c>
      <c r="AD10" s="2">
        <v>44286</v>
      </c>
      <c r="AE10" s="2">
        <f t="shared" si="2"/>
        <v>44105</v>
      </c>
      <c r="AF10" s="2">
        <f t="shared" si="12"/>
        <v>44469</v>
      </c>
      <c r="AG10" s="2">
        <f t="shared" si="13"/>
        <v>44105</v>
      </c>
      <c r="AH10" s="2">
        <v>44286</v>
      </c>
      <c r="AI10" s="6">
        <f t="shared" si="14"/>
        <v>181</v>
      </c>
    </row>
    <row r="11" spans="1:35" customFormat="1" x14ac:dyDescent="0.35">
      <c r="A11" s="26"/>
      <c r="B11" s="26"/>
      <c r="C11" s="28" t="s">
        <v>108</v>
      </c>
      <c r="D11" s="18">
        <f>SUMIF(D$22:D$204,$D$13,U$22:U$204)</f>
        <v>211.38521085627494</v>
      </c>
      <c r="E11" s="78" t="s">
        <v>109</v>
      </c>
      <c r="F11" s="26"/>
      <c r="G11" s="26"/>
      <c r="H11" s="26"/>
      <c r="I11" s="26"/>
      <c r="J11" s="26"/>
      <c r="K11" s="26"/>
      <c r="L11" s="26"/>
      <c r="M11" s="26"/>
      <c r="N11" s="26"/>
      <c r="O11" s="26"/>
      <c r="P11" s="26"/>
      <c r="Q11" s="26"/>
      <c r="R11" s="26"/>
      <c r="S11" s="26"/>
      <c r="T11" s="26"/>
      <c r="U11" s="26"/>
      <c r="V11" s="3" t="s">
        <v>110</v>
      </c>
      <c r="W11" s="3" t="s">
        <v>111</v>
      </c>
      <c r="X11" s="4">
        <f t="shared" si="7"/>
        <v>44044</v>
      </c>
      <c r="Y11" s="4">
        <v>44227</v>
      </c>
      <c r="Z11" s="7">
        <f t="shared" si="8"/>
        <v>183</v>
      </c>
      <c r="AA11" s="4">
        <f t="shared" si="9"/>
        <v>44228</v>
      </c>
      <c r="AB11" s="4">
        <f t="shared" si="10"/>
        <v>44286</v>
      </c>
      <c r="AC11" s="4">
        <f t="shared" si="11"/>
        <v>44287</v>
      </c>
      <c r="AD11" s="4">
        <v>44469</v>
      </c>
      <c r="AE11" s="4">
        <f t="shared" si="2"/>
        <v>44287</v>
      </c>
      <c r="AF11" s="4">
        <f t="shared" si="12"/>
        <v>44651</v>
      </c>
      <c r="AG11" s="4">
        <f t="shared" si="13"/>
        <v>44287</v>
      </c>
      <c r="AH11" s="4">
        <v>44469</v>
      </c>
      <c r="AI11" s="7">
        <f t="shared" si="14"/>
        <v>182</v>
      </c>
    </row>
    <row r="12" spans="1:35" customFormat="1" x14ac:dyDescent="0.35">
      <c r="A12" s="26"/>
      <c r="B12" s="26"/>
      <c r="C12" s="28" t="s">
        <v>112</v>
      </c>
      <c r="D12" s="18">
        <f>SUMIF(D$22:D$204,$D$13,V$22:V$204)</f>
        <v>190.24668977064744</v>
      </c>
      <c r="E12" s="78" t="s">
        <v>113</v>
      </c>
      <c r="F12" s="26"/>
      <c r="G12" s="26"/>
      <c r="H12" s="26"/>
      <c r="I12" s="26"/>
      <c r="J12" s="26"/>
      <c r="K12" s="26"/>
      <c r="L12" s="26"/>
      <c r="M12" s="26"/>
      <c r="N12" s="26"/>
      <c r="O12" s="26"/>
      <c r="P12" s="26"/>
      <c r="Q12" s="26"/>
      <c r="R12" s="26"/>
      <c r="S12" s="26"/>
      <c r="T12" s="26"/>
      <c r="U12" s="26"/>
      <c r="V12" s="1" t="s">
        <v>114</v>
      </c>
      <c r="W12" s="1" t="s">
        <v>115</v>
      </c>
      <c r="X12" s="2">
        <f t="shared" si="7"/>
        <v>44228</v>
      </c>
      <c r="Y12" s="2">
        <v>44408</v>
      </c>
      <c r="Z12" s="6">
        <f t="shared" si="8"/>
        <v>180</v>
      </c>
      <c r="AA12" s="2">
        <f t="shared" si="9"/>
        <v>44409</v>
      </c>
      <c r="AB12" s="2">
        <f t="shared" si="10"/>
        <v>44469</v>
      </c>
      <c r="AC12" s="2">
        <f t="shared" si="11"/>
        <v>44470</v>
      </c>
      <c r="AD12" s="2">
        <v>44651</v>
      </c>
      <c r="AE12" s="2">
        <f t="shared" si="2"/>
        <v>44470</v>
      </c>
      <c r="AF12" s="2">
        <f t="shared" si="12"/>
        <v>44834</v>
      </c>
      <c r="AG12" s="2">
        <f t="shared" si="13"/>
        <v>44470</v>
      </c>
      <c r="AH12" s="2">
        <v>44651</v>
      </c>
      <c r="AI12" s="6">
        <f t="shared" si="14"/>
        <v>181</v>
      </c>
    </row>
    <row r="13" spans="1:35" customFormat="1" x14ac:dyDescent="0.35">
      <c r="A13" s="26"/>
      <c r="B13" s="26"/>
      <c r="C13" s="26" t="s">
        <v>14</v>
      </c>
      <c r="D13" s="30">
        <f>'Elec Calculations'!C4</f>
        <v>44762</v>
      </c>
      <c r="E13" s="27"/>
      <c r="F13" s="26"/>
      <c r="G13" s="26"/>
      <c r="H13" s="26"/>
      <c r="I13" s="26"/>
      <c r="J13" s="26"/>
      <c r="K13" s="26"/>
      <c r="L13" s="26"/>
      <c r="M13" s="26"/>
      <c r="N13" s="26"/>
      <c r="O13" s="26"/>
      <c r="P13" s="26"/>
      <c r="Q13" s="26"/>
      <c r="R13" s="26"/>
      <c r="S13" s="26"/>
      <c r="T13" s="26"/>
      <c r="U13" s="26"/>
      <c r="V13" s="3" t="s">
        <v>116</v>
      </c>
      <c r="W13" s="3" t="s">
        <v>117</v>
      </c>
      <c r="X13" s="4">
        <f t="shared" si="7"/>
        <v>44409</v>
      </c>
      <c r="Y13" s="4">
        <v>44592</v>
      </c>
      <c r="Z13" s="7">
        <f t="shared" si="8"/>
        <v>183</v>
      </c>
      <c r="AA13" s="4">
        <f t="shared" si="9"/>
        <v>44593</v>
      </c>
      <c r="AB13" s="4">
        <f t="shared" si="10"/>
        <v>44651</v>
      </c>
      <c r="AC13" s="4">
        <f t="shared" si="11"/>
        <v>44652</v>
      </c>
      <c r="AD13" s="4">
        <v>44834</v>
      </c>
      <c r="AE13" s="4">
        <f t="shared" si="2"/>
        <v>44652</v>
      </c>
      <c r="AF13" s="4">
        <f t="shared" si="12"/>
        <v>45016</v>
      </c>
      <c r="AG13" s="4">
        <f t="shared" si="13"/>
        <v>44652</v>
      </c>
      <c r="AH13" s="4">
        <v>44834</v>
      </c>
      <c r="AI13" s="7">
        <f t="shared" si="14"/>
        <v>182</v>
      </c>
    </row>
    <row r="14" spans="1:35" customFormat="1" x14ac:dyDescent="0.35">
      <c r="A14" s="26"/>
      <c r="B14" s="26"/>
      <c r="C14" s="26"/>
      <c r="D14" s="26"/>
      <c r="E14" s="27"/>
      <c r="F14" s="26"/>
      <c r="G14" s="26"/>
      <c r="H14" s="26"/>
      <c r="I14" s="26"/>
      <c r="J14" s="26"/>
      <c r="K14" s="26"/>
      <c r="L14" s="26"/>
      <c r="M14" s="26"/>
      <c r="N14" s="26"/>
      <c r="O14" s="26"/>
      <c r="P14" s="26"/>
      <c r="Q14" s="26"/>
      <c r="R14" s="26"/>
      <c r="S14" s="26"/>
      <c r="T14" s="26"/>
      <c r="U14" s="26"/>
      <c r="V14" s="1" t="s">
        <v>118</v>
      </c>
      <c r="W14" s="1" t="s">
        <v>119</v>
      </c>
      <c r="X14" s="2">
        <f t="shared" si="7"/>
        <v>44593</v>
      </c>
      <c r="Y14" s="2">
        <v>44773</v>
      </c>
      <c r="Z14" s="6">
        <f t="shared" si="8"/>
        <v>180</v>
      </c>
      <c r="AA14" s="2">
        <f t="shared" si="9"/>
        <v>44774</v>
      </c>
      <c r="AB14" s="2">
        <f t="shared" si="10"/>
        <v>44834</v>
      </c>
      <c r="AC14" s="2">
        <f t="shared" si="11"/>
        <v>44835</v>
      </c>
      <c r="AD14" s="2">
        <v>45016</v>
      </c>
      <c r="AE14" s="2">
        <f t="shared" si="2"/>
        <v>44835</v>
      </c>
      <c r="AF14" s="2">
        <f t="shared" si="12"/>
        <v>45199</v>
      </c>
      <c r="AG14" s="2">
        <f t="shared" si="13"/>
        <v>44835</v>
      </c>
      <c r="AH14" s="2">
        <v>45016</v>
      </c>
      <c r="AI14" s="6">
        <f t="shared" si="14"/>
        <v>181</v>
      </c>
    </row>
    <row r="15" spans="1:35" customFormat="1" x14ac:dyDescent="0.35">
      <c r="A15" s="26"/>
      <c r="B15" s="26"/>
      <c r="C15" s="26"/>
      <c r="D15" s="26" t="s">
        <v>101</v>
      </c>
      <c r="E15" s="26" t="s">
        <v>105</v>
      </c>
      <c r="F15" s="26"/>
      <c r="G15" s="26"/>
      <c r="H15" s="26"/>
      <c r="I15" s="26"/>
      <c r="J15" s="26"/>
      <c r="K15" s="26"/>
      <c r="L15" s="26"/>
      <c r="M15" s="26"/>
      <c r="N15" s="26"/>
      <c r="O15" s="26"/>
      <c r="P15" s="26"/>
      <c r="Q15" s="26"/>
      <c r="R15" s="26"/>
      <c r="S15" s="26"/>
      <c r="T15" s="26"/>
      <c r="U15" s="26"/>
      <c r="V15" s="3" t="s">
        <v>120</v>
      </c>
      <c r="W15" s="3" t="s">
        <v>121</v>
      </c>
      <c r="X15" s="4">
        <f t="shared" si="7"/>
        <v>44774</v>
      </c>
      <c r="Y15" s="4">
        <v>44957</v>
      </c>
      <c r="Z15" s="7">
        <f t="shared" si="8"/>
        <v>183</v>
      </c>
      <c r="AA15" s="4">
        <f t="shared" si="9"/>
        <v>44958</v>
      </c>
      <c r="AB15" s="4">
        <f t="shared" si="10"/>
        <v>45016</v>
      </c>
      <c r="AC15" s="4">
        <f t="shared" si="11"/>
        <v>45017</v>
      </c>
      <c r="AD15" s="4">
        <v>45199</v>
      </c>
      <c r="AE15" s="4">
        <f t="shared" si="2"/>
        <v>45017</v>
      </c>
      <c r="AF15" s="4">
        <v>45382</v>
      </c>
      <c r="AG15" s="4">
        <f t="shared" si="13"/>
        <v>45017</v>
      </c>
      <c r="AH15" s="4">
        <v>45199</v>
      </c>
      <c r="AI15" s="7">
        <f t="shared" si="14"/>
        <v>182</v>
      </c>
    </row>
    <row r="16" spans="1:35" x14ac:dyDescent="0.35">
      <c r="B16" s="26"/>
      <c r="C16" s="26" t="s">
        <v>122</v>
      </c>
      <c r="D16" s="31">
        <v>0.42918465416463569</v>
      </c>
      <c r="E16" s="31">
        <v>0.57081534583536431</v>
      </c>
      <c r="F16" s="26"/>
      <c r="G16" s="26"/>
      <c r="H16" s="26"/>
      <c r="I16" s="26"/>
      <c r="J16" s="26"/>
      <c r="K16" s="26"/>
      <c r="L16" s="26"/>
      <c r="M16" s="26"/>
      <c r="N16" s="26"/>
      <c r="O16" s="26"/>
      <c r="P16" s="26"/>
      <c r="Q16" s="26"/>
      <c r="R16" s="26"/>
      <c r="S16" s="26"/>
      <c r="T16" s="26"/>
      <c r="U16" s="26"/>
    </row>
    <row r="17" spans="2:25" x14ac:dyDescent="0.35">
      <c r="B17" s="26"/>
      <c r="C17" s="26" t="s">
        <v>58</v>
      </c>
      <c r="D17" s="31">
        <v>0.24292945617678946</v>
      </c>
      <c r="E17" s="31">
        <v>0.75707054382320926</v>
      </c>
      <c r="F17" s="29"/>
      <c r="G17" s="29"/>
      <c r="H17" s="29"/>
      <c r="I17" s="29"/>
      <c r="J17" s="29"/>
      <c r="K17" s="26"/>
      <c r="L17" s="26"/>
      <c r="M17" s="26"/>
      <c r="N17" s="26"/>
      <c r="O17" s="35"/>
      <c r="P17" s="26"/>
      <c r="Q17" s="26"/>
      <c r="R17" s="26"/>
      <c r="S17" s="26"/>
      <c r="T17" s="26"/>
      <c r="U17" s="26"/>
    </row>
    <row r="18" spans="2:25" ht="29.15" customHeight="1" x14ac:dyDescent="0.35">
      <c r="B18" s="26"/>
      <c r="C18" s="87" t="s">
        <v>123</v>
      </c>
      <c r="D18" s="87"/>
      <c r="E18" s="26">
        <v>51</v>
      </c>
      <c r="F18" s="29"/>
      <c r="G18" s="29"/>
      <c r="H18" s="29"/>
      <c r="I18" s="29"/>
      <c r="J18" s="29"/>
      <c r="K18" s="26"/>
      <c r="L18" s="26"/>
      <c r="M18" s="26"/>
      <c r="N18" s="26"/>
      <c r="O18" s="35"/>
      <c r="P18" s="26"/>
      <c r="Q18" s="26"/>
      <c r="R18" s="26"/>
      <c r="S18" s="26"/>
      <c r="T18" s="26"/>
      <c r="U18" s="26"/>
    </row>
    <row r="19" spans="2:25" ht="42.65" customHeight="1" x14ac:dyDescent="0.35">
      <c r="B19" s="26"/>
      <c r="C19" s="87" t="s">
        <v>124</v>
      </c>
      <c r="D19" s="87"/>
      <c r="E19" s="26">
        <v>242</v>
      </c>
      <c r="F19" s="29"/>
      <c r="G19" s="29"/>
      <c r="H19" s="29"/>
      <c r="I19" s="29"/>
      <c r="J19" s="29"/>
      <c r="K19" s="26"/>
      <c r="L19" s="26"/>
      <c r="M19" s="26"/>
      <c r="N19" s="26"/>
      <c r="O19" s="35"/>
      <c r="P19" s="26"/>
      <c r="Q19" s="26"/>
      <c r="R19" s="26"/>
      <c r="S19" s="26"/>
      <c r="T19" s="26"/>
      <c r="U19" s="26"/>
    </row>
    <row r="20" spans="2:25" ht="275.5" customHeight="1" x14ac:dyDescent="0.35">
      <c r="B20" s="26"/>
      <c r="C20" s="26"/>
      <c r="D20" s="26"/>
      <c r="E20" s="26"/>
      <c r="F20" s="26"/>
      <c r="G20" s="26"/>
      <c r="H20" s="26"/>
      <c r="I20" s="26"/>
      <c r="J20" s="26"/>
      <c r="K20" s="26"/>
      <c r="L20" s="26"/>
      <c r="M20" s="26"/>
      <c r="N20" s="26"/>
      <c r="O20" s="26"/>
      <c r="P20" s="26"/>
      <c r="Q20" s="26"/>
      <c r="R20" s="26"/>
      <c r="S20" s="26"/>
      <c r="T20" s="26"/>
      <c r="U20" s="26"/>
    </row>
    <row r="21" spans="2:25" ht="17.5" x14ac:dyDescent="0.45">
      <c r="B21" t="s">
        <v>125</v>
      </c>
      <c r="C21" s="17" t="s">
        <v>13</v>
      </c>
      <c r="D21" s="17" t="s">
        <v>14</v>
      </c>
      <c r="E21" s="17" t="s">
        <v>126</v>
      </c>
      <c r="F21" s="17" t="s">
        <v>127</v>
      </c>
      <c r="G21" s="17" t="s">
        <v>128</v>
      </c>
      <c r="H21" s="17" t="s">
        <v>129</v>
      </c>
      <c r="I21" s="17" t="s">
        <v>130</v>
      </c>
      <c r="J21" s="17" t="s">
        <v>131</v>
      </c>
      <c r="K21" s="17" t="s">
        <v>132</v>
      </c>
      <c r="L21" s="17" t="s">
        <v>133</v>
      </c>
      <c r="M21" s="17" t="s">
        <v>134</v>
      </c>
      <c r="N21" s="17" t="s">
        <v>135</v>
      </c>
      <c r="O21" s="17" t="s">
        <v>20</v>
      </c>
      <c r="P21" s="17" t="s">
        <v>136</v>
      </c>
      <c r="Q21" s="17" t="s">
        <v>137</v>
      </c>
      <c r="R21" s="17" t="s">
        <v>138</v>
      </c>
      <c r="S21" s="17" t="s">
        <v>139</v>
      </c>
      <c r="T21" s="59" t="s">
        <v>140</v>
      </c>
      <c r="U21" s="17" t="s">
        <v>141</v>
      </c>
      <c r="V21" s="59" t="s">
        <v>142</v>
      </c>
      <c r="W21" s="60" t="s">
        <v>143</v>
      </c>
    </row>
    <row r="22" spans="2:25" x14ac:dyDescent="0.35">
      <c r="B22">
        <v>1</v>
      </c>
      <c r="C22" s="16" t="str">
        <f t="shared" ref="C22:C53" si="15">TEXT(D22,"ddd")</f>
        <v>Fri</v>
      </c>
      <c r="D22" s="12">
        <v>44652</v>
      </c>
      <c r="E22">
        <f>$AI$13</f>
        <v>182</v>
      </c>
      <c r="F22" s="61">
        <f>$E$19</f>
        <v>242</v>
      </c>
      <c r="G22" s="61">
        <f>$E$18</f>
        <v>51</v>
      </c>
      <c r="H22" s="61">
        <f>B22</f>
        <v>1</v>
      </c>
      <c r="I22" s="61">
        <f>IF(D22&lt;$D$71,0,B22-49)</f>
        <v>0</v>
      </c>
      <c r="J22" s="61">
        <f>IF(D22&lt;$D$175,0,B22-153)</f>
        <v>0</v>
      </c>
      <c r="K22" s="11">
        <f>E22/F22</f>
        <v>0.75206611570247939</v>
      </c>
      <c r="L22" s="11">
        <f>K22*$D$9</f>
        <v>0.32277523577670952</v>
      </c>
      <c r="M22" s="11">
        <f>(G22+0.5*(H22-I22)+(I22-J22))/F22</f>
        <v>0.21280991735537191</v>
      </c>
      <c r="N22" s="11">
        <f>M22*$D$10</f>
        <v>0.12147516657240191</v>
      </c>
      <c r="O22" s="11">
        <f>J22/F22</f>
        <v>0</v>
      </c>
      <c r="P22" s="11">
        <f>O22*$D$9</f>
        <v>0</v>
      </c>
      <c r="Q22" s="20">
        <f>SUM(L22,N22,P22)</f>
        <v>0.44425040234911145</v>
      </c>
      <c r="R22" s="20">
        <f>(L22/Q22)+(N22/Q22)+(P22/Q22)</f>
        <v>1</v>
      </c>
      <c r="S22" s="5">
        <f>((PCc*L22)+(PCn*N22)+(PCn_2*P22))/(L22+N22+P22)</f>
        <v>159.48739188216368</v>
      </c>
      <c r="T22" s="5">
        <f>S22*LSLT</f>
        <v>143.53865269394731</v>
      </c>
      <c r="U22" s="5" t="s">
        <v>23</v>
      </c>
      <c r="V22" s="5" t="s">
        <v>23</v>
      </c>
      <c r="W22" s="62">
        <f>K22+M22+O22</f>
        <v>0.9648760330578513</v>
      </c>
      <c r="X22" s="36"/>
      <c r="Y22" s="34"/>
    </row>
    <row r="23" spans="2:25" x14ac:dyDescent="0.35">
      <c r="B23">
        <v>2</v>
      </c>
      <c r="C23" s="16" t="str">
        <f t="shared" si="15"/>
        <v>Sat</v>
      </c>
      <c r="D23" s="12">
        <v>44653</v>
      </c>
      <c r="E23">
        <f t="shared" ref="E23:E29" si="16">$AH$13-D23</f>
        <v>181</v>
      </c>
      <c r="F23" s="61">
        <f t="shared" ref="F23:F86" si="17">$E$19</f>
        <v>242</v>
      </c>
      <c r="G23" s="61">
        <f t="shared" ref="G23:G86" si="18">$E$18</f>
        <v>51</v>
      </c>
      <c r="H23" s="61">
        <f t="shared" ref="H23:H86" si="19">B23</f>
        <v>2</v>
      </c>
      <c r="I23" s="61">
        <f t="shared" ref="I23:I86" si="20">IF(D23&lt;$D$71,0,B23-49)</f>
        <v>0</v>
      </c>
      <c r="J23" s="61">
        <f t="shared" ref="J23:J86" si="21">IF(D23&lt;$D$175,0,B23-153)</f>
        <v>0</v>
      </c>
      <c r="K23" s="11">
        <f>E23/F23</f>
        <v>0.74793388429752061</v>
      </c>
      <c r="L23" s="11">
        <f t="shared" ref="L23:L86" si="22">K23*$D$9</f>
        <v>0.32100174547024402</v>
      </c>
      <c r="M23" s="11">
        <f>(G23+0.5*(H23-I23)+(I23-J23))/F23</f>
        <v>0.21487603305785125</v>
      </c>
      <c r="N23" s="11">
        <f t="shared" ref="N23:N86" si="23">M23*$D$10</f>
        <v>0.12265453712164853</v>
      </c>
      <c r="O23" s="11">
        <f t="shared" ref="O23:O86" si="24">J23/F23</f>
        <v>0</v>
      </c>
      <c r="P23" s="11">
        <f t="shared" ref="P23:P86" si="25">O23*$D$9</f>
        <v>0</v>
      </c>
      <c r="Q23" s="20">
        <f t="shared" ref="Q23:Q86" si="26">SUM(L23,N23,P23)</f>
        <v>0.44365628259189255</v>
      </c>
      <c r="R23" s="20">
        <f t="shared" ref="R23:R86" si="27">(L23/Q23)+(N23/Q23)+(P23/Q23)</f>
        <v>1</v>
      </c>
      <c r="S23" s="5">
        <f>((PCc*L23)+(PCn*N23)+(PCn_2*P23))/(L23+N23+P23)</f>
        <v>159.86675133842343</v>
      </c>
      <c r="T23" s="5">
        <f>S23*LSLT</f>
        <v>143.88007620458109</v>
      </c>
      <c r="U23" s="5" t="s">
        <v>23</v>
      </c>
      <c r="V23" s="5" t="s">
        <v>23</v>
      </c>
      <c r="W23" s="62">
        <f>K23+M23+O23</f>
        <v>0.96280991735537191</v>
      </c>
      <c r="X23" s="36"/>
      <c r="Y23" s="34"/>
    </row>
    <row r="24" spans="2:25" x14ac:dyDescent="0.35">
      <c r="B24">
        <v>3</v>
      </c>
      <c r="C24" s="16" t="str">
        <f t="shared" si="15"/>
        <v>Sun</v>
      </c>
      <c r="D24" s="12">
        <v>44654</v>
      </c>
      <c r="E24">
        <f t="shared" si="16"/>
        <v>180</v>
      </c>
      <c r="F24" s="61">
        <f t="shared" si="17"/>
        <v>242</v>
      </c>
      <c r="G24" s="61">
        <f t="shared" si="18"/>
        <v>51</v>
      </c>
      <c r="H24" s="61">
        <f t="shared" si="19"/>
        <v>3</v>
      </c>
      <c r="I24" s="61">
        <f t="shared" si="20"/>
        <v>0</v>
      </c>
      <c r="J24" s="61">
        <f t="shared" si="21"/>
        <v>0</v>
      </c>
      <c r="K24" s="11">
        <f t="shared" ref="K24:K86" si="28">E24/F24</f>
        <v>0.74380165289256195</v>
      </c>
      <c r="L24" s="11">
        <f t="shared" si="22"/>
        <v>0.31922825516377862</v>
      </c>
      <c r="M24" s="11">
        <f>(G24+0.5*(H24-I24)+(I24-J24))/F24</f>
        <v>0.21694214876033058</v>
      </c>
      <c r="N24" s="11">
        <f t="shared" si="23"/>
        <v>0.12383390767089515</v>
      </c>
      <c r="O24" s="11">
        <f t="shared" si="24"/>
        <v>0</v>
      </c>
      <c r="P24" s="11">
        <f t="shared" si="25"/>
        <v>0</v>
      </c>
      <c r="Q24" s="20">
        <f>SUM(L24,N24,P24)</f>
        <v>0.44306216283467376</v>
      </c>
      <c r="R24" s="20">
        <f t="shared" si="27"/>
        <v>1</v>
      </c>
      <c r="S24" s="5">
        <f t="shared" ref="S24:S53" si="29">((PCc*L24)+(PCn*N24)+(PCn_2*P24))/(L24+N24+P24)</f>
        <v>160.24712819118847</v>
      </c>
      <c r="T24" s="5">
        <f>S24*LSLT</f>
        <v>144.22241537206963</v>
      </c>
      <c r="U24" s="5">
        <f>AVERAGE(S22)</f>
        <v>159.48739188216368</v>
      </c>
      <c r="V24" s="5">
        <f>AVERAGE(T22)</f>
        <v>143.53865269394731</v>
      </c>
      <c r="W24" s="62">
        <f>K24+M24+O24</f>
        <v>0.96074380165289253</v>
      </c>
      <c r="X24" s="36"/>
      <c r="Y24" s="34"/>
    </row>
    <row r="25" spans="2:25" x14ac:dyDescent="0.35">
      <c r="B25">
        <v>4</v>
      </c>
      <c r="C25" s="16" t="str">
        <f t="shared" si="15"/>
        <v>Mon</v>
      </c>
      <c r="D25" s="12">
        <v>44655</v>
      </c>
      <c r="E25">
        <f t="shared" si="16"/>
        <v>179</v>
      </c>
      <c r="F25" s="61">
        <f t="shared" si="17"/>
        <v>242</v>
      </c>
      <c r="G25" s="61">
        <f t="shared" si="18"/>
        <v>51</v>
      </c>
      <c r="H25" s="61">
        <f t="shared" si="19"/>
        <v>4</v>
      </c>
      <c r="I25" s="61">
        <f t="shared" si="20"/>
        <v>0</v>
      </c>
      <c r="J25" s="61">
        <f t="shared" si="21"/>
        <v>0</v>
      </c>
      <c r="K25" s="11">
        <f t="shared" si="28"/>
        <v>0.73966942148760328</v>
      </c>
      <c r="L25" s="11">
        <f t="shared" si="22"/>
        <v>0.31745476485731317</v>
      </c>
      <c r="M25" s="11">
        <f>(G25+0.5*(H25-I25)+(I25-J25))/F25</f>
        <v>0.21900826446280991</v>
      </c>
      <c r="N25" s="11">
        <f t="shared" si="23"/>
        <v>0.12501327822014177</v>
      </c>
      <c r="O25" s="11">
        <f t="shared" si="24"/>
        <v>0</v>
      </c>
      <c r="P25" s="11">
        <f t="shared" si="25"/>
        <v>0</v>
      </c>
      <c r="Q25" s="20">
        <f t="shared" si="26"/>
        <v>0.44246804307745491</v>
      </c>
      <c r="R25" s="20">
        <f t="shared" si="27"/>
        <v>1</v>
      </c>
      <c r="S25" s="5">
        <f t="shared" si="29"/>
        <v>160.62852653875728</v>
      </c>
      <c r="T25" s="5">
        <f>S25*LSLT</f>
        <v>144.56567388488156</v>
      </c>
      <c r="U25" s="5">
        <f>U24</f>
        <v>159.48739188216368</v>
      </c>
      <c r="V25" s="5">
        <f>V24</f>
        <v>143.53865269394731</v>
      </c>
      <c r="W25" s="62">
        <f t="shared" ref="W25:W86" si="30">K25+M25+O25</f>
        <v>0.95867768595041314</v>
      </c>
      <c r="X25" s="36"/>
      <c r="Y25" s="34"/>
    </row>
    <row r="26" spans="2:25" x14ac:dyDescent="0.35">
      <c r="B26">
        <v>5</v>
      </c>
      <c r="C26" s="16" t="str">
        <f t="shared" si="15"/>
        <v>Tue</v>
      </c>
      <c r="D26" s="12">
        <v>44656</v>
      </c>
      <c r="E26">
        <f t="shared" si="16"/>
        <v>178</v>
      </c>
      <c r="F26" s="61">
        <f t="shared" si="17"/>
        <v>242</v>
      </c>
      <c r="G26" s="61">
        <f t="shared" si="18"/>
        <v>51</v>
      </c>
      <c r="H26" s="61">
        <f t="shared" si="19"/>
        <v>5</v>
      </c>
      <c r="I26" s="61">
        <f t="shared" si="20"/>
        <v>0</v>
      </c>
      <c r="J26" s="61">
        <f t="shared" si="21"/>
        <v>0</v>
      </c>
      <c r="K26" s="11">
        <f>E26/F26</f>
        <v>0.73553719008264462</v>
      </c>
      <c r="L26" s="11">
        <f t="shared" si="22"/>
        <v>0.31568127455084771</v>
      </c>
      <c r="M26" s="11">
        <f t="shared" ref="M26:M86" si="31">(G26+0.5*(H26-I26)+(I26-J26))/F26</f>
        <v>0.22107438016528927</v>
      </c>
      <c r="N26" s="11">
        <f t="shared" si="23"/>
        <v>0.1261926487693884</v>
      </c>
      <c r="O26" s="11">
        <f t="shared" si="24"/>
        <v>0</v>
      </c>
      <c r="P26" s="11">
        <f t="shared" si="25"/>
        <v>0</v>
      </c>
      <c r="Q26" s="20">
        <f t="shared" si="26"/>
        <v>0.44187392332023612</v>
      </c>
      <c r="R26" s="20">
        <f t="shared" si="27"/>
        <v>1</v>
      </c>
      <c r="S26" s="5">
        <f t="shared" si="29"/>
        <v>161.01095050146967</v>
      </c>
      <c r="T26" s="5">
        <f>S26*LSLT</f>
        <v>144.9098554513227</v>
      </c>
      <c r="U26" s="5">
        <f>U24</f>
        <v>159.48739188216368</v>
      </c>
      <c r="V26" s="5">
        <f>V24</f>
        <v>143.53865269394731</v>
      </c>
      <c r="W26" s="62">
        <f t="shared" si="30"/>
        <v>0.95661157024793386</v>
      </c>
    </row>
    <row r="27" spans="2:25" x14ac:dyDescent="0.35">
      <c r="B27">
        <v>6</v>
      </c>
      <c r="C27" s="16" t="str">
        <f t="shared" si="15"/>
        <v>Wed</v>
      </c>
      <c r="D27" s="12">
        <v>44657</v>
      </c>
      <c r="E27">
        <f t="shared" si="16"/>
        <v>177</v>
      </c>
      <c r="F27" s="61">
        <f t="shared" si="17"/>
        <v>242</v>
      </c>
      <c r="G27" s="61">
        <f t="shared" si="18"/>
        <v>51</v>
      </c>
      <c r="H27" s="61">
        <f t="shared" si="19"/>
        <v>6</v>
      </c>
      <c r="I27" s="61">
        <f t="shared" si="20"/>
        <v>0</v>
      </c>
      <c r="J27" s="61">
        <f t="shared" si="21"/>
        <v>0</v>
      </c>
      <c r="K27" s="11">
        <f t="shared" si="28"/>
        <v>0.73140495867768596</v>
      </c>
      <c r="L27" s="11">
        <f t="shared" si="22"/>
        <v>0.31390778424438232</v>
      </c>
      <c r="M27" s="11">
        <f t="shared" si="31"/>
        <v>0.2231404958677686</v>
      </c>
      <c r="N27" s="11">
        <f t="shared" si="23"/>
        <v>0.12737201931863501</v>
      </c>
      <c r="O27" s="11">
        <f t="shared" si="24"/>
        <v>0</v>
      </c>
      <c r="P27" s="11">
        <f t="shared" si="25"/>
        <v>0</v>
      </c>
      <c r="Q27" s="20">
        <f t="shared" si="26"/>
        <v>0.44127980356301733</v>
      </c>
      <c r="R27" s="20">
        <f t="shared" si="27"/>
        <v>1</v>
      </c>
      <c r="S27" s="5">
        <f t="shared" si="29"/>
        <v>161.39440422185532</v>
      </c>
      <c r="T27" s="5">
        <f t="shared" ref="T27:T30" si="32">S27*LSLT</f>
        <v>145.25496379966981</v>
      </c>
      <c r="U27" s="5">
        <f>U24</f>
        <v>159.48739188216368</v>
      </c>
      <c r="V27" s="5">
        <f>V24</f>
        <v>143.53865269394731</v>
      </c>
      <c r="W27" s="62">
        <f t="shared" si="30"/>
        <v>0.95454545454545459</v>
      </c>
    </row>
    <row r="28" spans="2:25" x14ac:dyDescent="0.35">
      <c r="B28">
        <v>7</v>
      </c>
      <c r="C28" s="16" t="str">
        <f t="shared" si="15"/>
        <v>Thu</v>
      </c>
      <c r="D28" s="12">
        <v>44658</v>
      </c>
      <c r="E28">
        <f t="shared" si="16"/>
        <v>176</v>
      </c>
      <c r="F28" s="61">
        <f t="shared" si="17"/>
        <v>242</v>
      </c>
      <c r="G28" s="61">
        <f t="shared" si="18"/>
        <v>51</v>
      </c>
      <c r="H28" s="61">
        <f t="shared" si="19"/>
        <v>7</v>
      </c>
      <c r="I28" s="61">
        <f t="shared" si="20"/>
        <v>0</v>
      </c>
      <c r="J28" s="61">
        <f t="shared" si="21"/>
        <v>0</v>
      </c>
      <c r="K28" s="11">
        <f t="shared" si="28"/>
        <v>0.72727272727272729</v>
      </c>
      <c r="L28" s="11">
        <f t="shared" si="22"/>
        <v>0.31213429393791686</v>
      </c>
      <c r="M28" s="11">
        <f t="shared" si="31"/>
        <v>0.22520661157024793</v>
      </c>
      <c r="N28" s="11">
        <f t="shared" si="23"/>
        <v>0.12855138986788164</v>
      </c>
      <c r="O28" s="11">
        <f t="shared" si="24"/>
        <v>0</v>
      </c>
      <c r="P28" s="11">
        <f t="shared" si="25"/>
        <v>0</v>
      </c>
      <c r="Q28" s="20">
        <f t="shared" si="26"/>
        <v>0.44068568380579853</v>
      </c>
      <c r="R28" s="20">
        <f t="shared" si="27"/>
        <v>0.99999999999999989</v>
      </c>
      <c r="S28" s="5">
        <f t="shared" si="29"/>
        <v>161.77889186478319</v>
      </c>
      <c r="T28" s="5">
        <f t="shared" si="32"/>
        <v>145.60100267830487</v>
      </c>
      <c r="U28" s="5">
        <f>U24</f>
        <v>159.48739188216368</v>
      </c>
      <c r="V28" s="5">
        <f>V24</f>
        <v>143.53865269394731</v>
      </c>
      <c r="W28" s="62">
        <f t="shared" si="30"/>
        <v>0.9524793388429752</v>
      </c>
    </row>
    <row r="29" spans="2:25" x14ac:dyDescent="0.35">
      <c r="B29">
        <v>8</v>
      </c>
      <c r="C29" s="16" t="str">
        <f t="shared" si="15"/>
        <v>Fri</v>
      </c>
      <c r="D29" s="12">
        <v>44659</v>
      </c>
      <c r="E29">
        <f t="shared" si="16"/>
        <v>175</v>
      </c>
      <c r="F29" s="61">
        <f t="shared" si="17"/>
        <v>242</v>
      </c>
      <c r="G29" s="61">
        <f t="shared" si="18"/>
        <v>51</v>
      </c>
      <c r="H29" s="61">
        <f t="shared" si="19"/>
        <v>8</v>
      </c>
      <c r="I29" s="61">
        <f t="shared" si="20"/>
        <v>0</v>
      </c>
      <c r="J29" s="61">
        <f t="shared" si="21"/>
        <v>0</v>
      </c>
      <c r="K29" s="11">
        <f t="shared" si="28"/>
        <v>0.72314049586776863</v>
      </c>
      <c r="L29" s="11">
        <f t="shared" si="22"/>
        <v>0.31036080363145147</v>
      </c>
      <c r="M29" s="11">
        <f t="shared" si="31"/>
        <v>0.22727272727272727</v>
      </c>
      <c r="N29" s="11">
        <f t="shared" si="23"/>
        <v>0.12973076041712825</v>
      </c>
      <c r="O29" s="11">
        <f t="shared" si="24"/>
        <v>0</v>
      </c>
      <c r="P29" s="11">
        <f t="shared" si="25"/>
        <v>0</v>
      </c>
      <c r="Q29" s="20">
        <f t="shared" si="26"/>
        <v>0.44009156404857974</v>
      </c>
      <c r="R29" s="20">
        <f t="shared" si="27"/>
        <v>0.99999999999999989</v>
      </c>
      <c r="S29" s="5">
        <f t="shared" si="29"/>
        <v>162.16441761761237</v>
      </c>
      <c r="T29" s="5">
        <f t="shared" si="32"/>
        <v>145.94797585585113</v>
      </c>
      <c r="U29" s="5">
        <f>U24</f>
        <v>159.48739188216368</v>
      </c>
      <c r="V29" s="5">
        <f>V24</f>
        <v>143.53865269394731</v>
      </c>
      <c r="W29" s="62">
        <f t="shared" si="30"/>
        <v>0.95041322314049592</v>
      </c>
    </row>
    <row r="30" spans="2:25" x14ac:dyDescent="0.35">
      <c r="B30">
        <v>9</v>
      </c>
      <c r="C30" s="16" t="str">
        <f t="shared" si="15"/>
        <v>Sat</v>
      </c>
      <c r="D30" s="12">
        <v>44660</v>
      </c>
      <c r="E30">
        <f>$AH$13-D30</f>
        <v>174</v>
      </c>
      <c r="F30" s="61">
        <f t="shared" si="17"/>
        <v>242</v>
      </c>
      <c r="G30" s="61">
        <f t="shared" si="18"/>
        <v>51</v>
      </c>
      <c r="H30" s="61">
        <f t="shared" si="19"/>
        <v>9</v>
      </c>
      <c r="I30" s="61">
        <f t="shared" si="20"/>
        <v>0</v>
      </c>
      <c r="J30" s="61">
        <f t="shared" si="21"/>
        <v>0</v>
      </c>
      <c r="K30" s="11">
        <f t="shared" si="28"/>
        <v>0.71900826446280997</v>
      </c>
      <c r="L30" s="11">
        <f t="shared" si="22"/>
        <v>0.30858731332498601</v>
      </c>
      <c r="M30" s="11">
        <f t="shared" si="31"/>
        <v>0.22933884297520662</v>
      </c>
      <c r="N30" s="11">
        <f t="shared" si="23"/>
        <v>0.13091013096637488</v>
      </c>
      <c r="O30" s="11">
        <f t="shared" si="24"/>
        <v>0</v>
      </c>
      <c r="P30" s="11">
        <f t="shared" si="25"/>
        <v>0</v>
      </c>
      <c r="Q30" s="20">
        <f t="shared" si="26"/>
        <v>0.43949744429136089</v>
      </c>
      <c r="R30" s="20">
        <f t="shared" si="27"/>
        <v>1</v>
      </c>
      <c r="S30" s="5">
        <f t="shared" si="29"/>
        <v>162.55098569034422</v>
      </c>
      <c r="T30" s="5">
        <f t="shared" si="32"/>
        <v>146.29588712130979</v>
      </c>
      <c r="U30" s="5">
        <f>U24</f>
        <v>159.48739188216368</v>
      </c>
      <c r="V30" s="5">
        <f>V24</f>
        <v>143.53865269394731</v>
      </c>
      <c r="W30" s="62">
        <f t="shared" si="30"/>
        <v>0.94834710743801653</v>
      </c>
    </row>
    <row r="31" spans="2:25" x14ac:dyDescent="0.35">
      <c r="B31">
        <v>10</v>
      </c>
      <c r="C31" s="16" t="str">
        <f t="shared" si="15"/>
        <v>Sun</v>
      </c>
      <c r="D31" s="12">
        <v>44661</v>
      </c>
      <c r="E31">
        <f t="shared" ref="E31:E57" si="33">$AH$13-D31</f>
        <v>173</v>
      </c>
      <c r="F31" s="61">
        <f t="shared" si="17"/>
        <v>242</v>
      </c>
      <c r="G31" s="61">
        <f t="shared" si="18"/>
        <v>51</v>
      </c>
      <c r="H31" s="61">
        <f t="shared" si="19"/>
        <v>10</v>
      </c>
      <c r="I31" s="61">
        <f t="shared" si="20"/>
        <v>0</v>
      </c>
      <c r="J31" s="61">
        <f t="shared" si="21"/>
        <v>0</v>
      </c>
      <c r="K31" s="11">
        <f t="shared" si="28"/>
        <v>0.71487603305785119</v>
      </c>
      <c r="L31" s="11">
        <f t="shared" si="22"/>
        <v>0.30681382301852056</v>
      </c>
      <c r="M31" s="11">
        <f t="shared" si="31"/>
        <v>0.23140495867768596</v>
      </c>
      <c r="N31" s="11">
        <f t="shared" si="23"/>
        <v>0.13208950151562149</v>
      </c>
      <c r="O31" s="11">
        <f t="shared" si="24"/>
        <v>0</v>
      </c>
      <c r="P31" s="11">
        <f t="shared" si="25"/>
        <v>0</v>
      </c>
      <c r="Q31" s="20">
        <f t="shared" si="26"/>
        <v>0.43890332453414205</v>
      </c>
      <c r="R31" s="20">
        <f t="shared" si="27"/>
        <v>1</v>
      </c>
      <c r="S31" s="5">
        <f t="shared" si="29"/>
        <v>162.93860031577543</v>
      </c>
      <c r="T31" s="5">
        <f t="shared" ref="T31:T53" si="34">S31*LSLT</f>
        <v>146.64474028419789</v>
      </c>
      <c r="U31" s="5">
        <f>AVERAGE(S25:S29)</f>
        <v>161.39543814889558</v>
      </c>
      <c r="V31" s="5">
        <f>AVERAGE(T25:T29)</f>
        <v>145.25589433400603</v>
      </c>
      <c r="W31" s="62">
        <f t="shared" si="30"/>
        <v>0.94628099173553715</v>
      </c>
    </row>
    <row r="32" spans="2:25" x14ac:dyDescent="0.35">
      <c r="B32">
        <v>11</v>
      </c>
      <c r="C32" s="16" t="str">
        <f t="shared" si="15"/>
        <v>Mon</v>
      </c>
      <c r="D32" s="12">
        <v>44662</v>
      </c>
      <c r="E32">
        <f t="shared" si="33"/>
        <v>172</v>
      </c>
      <c r="F32" s="61">
        <f t="shared" si="17"/>
        <v>242</v>
      </c>
      <c r="G32" s="61">
        <f t="shared" si="18"/>
        <v>51</v>
      </c>
      <c r="H32" s="61">
        <f t="shared" si="19"/>
        <v>11</v>
      </c>
      <c r="I32" s="61">
        <f t="shared" si="20"/>
        <v>0</v>
      </c>
      <c r="J32" s="61">
        <f t="shared" si="21"/>
        <v>0</v>
      </c>
      <c r="K32" s="11">
        <f t="shared" si="28"/>
        <v>0.71074380165289253</v>
      </c>
      <c r="L32" s="11">
        <f t="shared" si="22"/>
        <v>0.30504033271205511</v>
      </c>
      <c r="M32" s="11">
        <f t="shared" si="31"/>
        <v>0.23347107438016529</v>
      </c>
      <c r="N32" s="11">
        <f t="shared" si="23"/>
        <v>0.13326887206486812</v>
      </c>
      <c r="O32" s="11">
        <f t="shared" si="24"/>
        <v>0</v>
      </c>
      <c r="P32" s="11">
        <f t="shared" si="25"/>
        <v>0</v>
      </c>
      <c r="Q32" s="20">
        <f t="shared" si="26"/>
        <v>0.43830920477692326</v>
      </c>
      <c r="R32" s="20">
        <f t="shared" si="27"/>
        <v>1</v>
      </c>
      <c r="S32" s="5">
        <f t="shared" si="29"/>
        <v>163.32726574965258</v>
      </c>
      <c r="T32" s="5">
        <f t="shared" si="34"/>
        <v>146.99453917468733</v>
      </c>
      <c r="U32" s="5">
        <f>U31</f>
        <v>161.39543814889558</v>
      </c>
      <c r="V32" s="5">
        <f>V31</f>
        <v>145.25589433400603</v>
      </c>
      <c r="W32" s="62">
        <f t="shared" si="30"/>
        <v>0.94421487603305776</v>
      </c>
    </row>
    <row r="33" spans="2:23" x14ac:dyDescent="0.35">
      <c r="B33">
        <v>12</v>
      </c>
      <c r="C33" s="16" t="str">
        <f t="shared" si="15"/>
        <v>Tue</v>
      </c>
      <c r="D33" s="12">
        <v>44663</v>
      </c>
      <c r="E33">
        <f t="shared" si="33"/>
        <v>171</v>
      </c>
      <c r="F33" s="61">
        <f t="shared" si="17"/>
        <v>242</v>
      </c>
      <c r="G33" s="61">
        <f t="shared" si="18"/>
        <v>51</v>
      </c>
      <c r="H33" s="61">
        <f t="shared" si="19"/>
        <v>12</v>
      </c>
      <c r="I33" s="61">
        <f t="shared" si="20"/>
        <v>0</v>
      </c>
      <c r="J33" s="61">
        <f t="shared" si="21"/>
        <v>0</v>
      </c>
      <c r="K33" s="11">
        <f t="shared" si="28"/>
        <v>0.70661157024793386</v>
      </c>
      <c r="L33" s="11">
        <f t="shared" si="22"/>
        <v>0.30326684240558965</v>
      </c>
      <c r="M33" s="11">
        <f t="shared" si="31"/>
        <v>0.23553719008264462</v>
      </c>
      <c r="N33" s="11">
        <f t="shared" si="23"/>
        <v>0.13444824261411473</v>
      </c>
      <c r="O33" s="11">
        <f t="shared" si="24"/>
        <v>0</v>
      </c>
      <c r="P33" s="11">
        <f t="shared" si="25"/>
        <v>0</v>
      </c>
      <c r="Q33" s="20">
        <f t="shared" si="26"/>
        <v>0.43771508501970435</v>
      </c>
      <c r="R33" s="20">
        <f t="shared" si="27"/>
        <v>1</v>
      </c>
      <c r="S33" s="5">
        <f t="shared" si="29"/>
        <v>163.7169862708279</v>
      </c>
      <c r="T33" s="5">
        <f t="shared" si="34"/>
        <v>147.34528764374511</v>
      </c>
      <c r="U33" s="5">
        <f>U31</f>
        <v>161.39543814889558</v>
      </c>
      <c r="V33" s="5">
        <f>V31</f>
        <v>145.25589433400603</v>
      </c>
      <c r="W33" s="62">
        <f t="shared" si="30"/>
        <v>0.94214876033057848</v>
      </c>
    </row>
    <row r="34" spans="2:23" x14ac:dyDescent="0.35">
      <c r="B34">
        <v>13</v>
      </c>
      <c r="C34" s="16" t="str">
        <f t="shared" si="15"/>
        <v>Wed</v>
      </c>
      <c r="D34" s="12">
        <v>44664</v>
      </c>
      <c r="E34">
        <f t="shared" si="33"/>
        <v>170</v>
      </c>
      <c r="F34" s="61">
        <f t="shared" si="17"/>
        <v>242</v>
      </c>
      <c r="G34" s="61">
        <f t="shared" si="18"/>
        <v>51</v>
      </c>
      <c r="H34" s="61">
        <f t="shared" si="19"/>
        <v>13</v>
      </c>
      <c r="I34" s="61">
        <f t="shared" si="20"/>
        <v>0</v>
      </c>
      <c r="J34" s="61">
        <f t="shared" si="21"/>
        <v>0</v>
      </c>
      <c r="K34" s="11">
        <f t="shared" si="28"/>
        <v>0.7024793388429752</v>
      </c>
      <c r="L34" s="11">
        <f t="shared" si="22"/>
        <v>0.30149335209912426</v>
      </c>
      <c r="M34" s="11">
        <f t="shared" si="31"/>
        <v>0.23760330578512398</v>
      </c>
      <c r="N34" s="11">
        <f t="shared" si="23"/>
        <v>0.13562761316336136</v>
      </c>
      <c r="O34" s="11">
        <f t="shared" si="24"/>
        <v>0</v>
      </c>
      <c r="P34" s="11">
        <f t="shared" si="25"/>
        <v>0</v>
      </c>
      <c r="Q34" s="20">
        <f t="shared" si="26"/>
        <v>0.43712096526248562</v>
      </c>
      <c r="R34" s="20">
        <f t="shared" si="27"/>
        <v>1</v>
      </c>
      <c r="S34" s="5">
        <f t="shared" si="29"/>
        <v>164.10776618141631</v>
      </c>
      <c r="T34" s="5">
        <f t="shared" si="34"/>
        <v>147.69698956327468</v>
      </c>
      <c r="U34" s="5">
        <f>U31</f>
        <v>161.39543814889558</v>
      </c>
      <c r="V34" s="5">
        <f>V31</f>
        <v>145.25589433400603</v>
      </c>
      <c r="W34" s="62">
        <f t="shared" si="30"/>
        <v>0.94008264462809921</v>
      </c>
    </row>
    <row r="35" spans="2:23" x14ac:dyDescent="0.35">
      <c r="B35">
        <v>14</v>
      </c>
      <c r="C35" s="16" t="str">
        <f t="shared" si="15"/>
        <v>Thu</v>
      </c>
      <c r="D35" s="12">
        <v>44665</v>
      </c>
      <c r="E35">
        <f t="shared" si="33"/>
        <v>169</v>
      </c>
      <c r="F35" s="61">
        <f t="shared" si="17"/>
        <v>242</v>
      </c>
      <c r="G35" s="61">
        <f t="shared" si="18"/>
        <v>51</v>
      </c>
      <c r="H35" s="61">
        <f t="shared" si="19"/>
        <v>14</v>
      </c>
      <c r="I35" s="61">
        <f t="shared" si="20"/>
        <v>0</v>
      </c>
      <c r="J35" s="61">
        <f t="shared" si="21"/>
        <v>0</v>
      </c>
      <c r="K35" s="11">
        <f t="shared" si="28"/>
        <v>0.69834710743801653</v>
      </c>
      <c r="L35" s="11">
        <f t="shared" si="22"/>
        <v>0.2997198617926588</v>
      </c>
      <c r="M35" s="11">
        <f t="shared" si="31"/>
        <v>0.23966942148760331</v>
      </c>
      <c r="N35" s="11">
        <f t="shared" si="23"/>
        <v>0.13680698371260797</v>
      </c>
      <c r="O35" s="11">
        <f t="shared" si="24"/>
        <v>0</v>
      </c>
      <c r="P35" s="11">
        <f t="shared" si="25"/>
        <v>0</v>
      </c>
      <c r="Q35" s="20">
        <f t="shared" si="26"/>
        <v>0.43652684550526677</v>
      </c>
      <c r="R35" s="20">
        <f t="shared" si="27"/>
        <v>1</v>
      </c>
      <c r="S35" s="5">
        <f t="shared" si="29"/>
        <v>164.49960980695374</v>
      </c>
      <c r="T35" s="5">
        <f t="shared" si="34"/>
        <v>148.04964882625836</v>
      </c>
      <c r="U35" s="5">
        <f>U31</f>
        <v>161.39543814889558</v>
      </c>
      <c r="V35" s="5">
        <f>V31</f>
        <v>145.25589433400603</v>
      </c>
      <c r="W35" s="62">
        <f t="shared" si="30"/>
        <v>0.93801652892561982</v>
      </c>
    </row>
    <row r="36" spans="2:23" x14ac:dyDescent="0.35">
      <c r="B36">
        <v>15</v>
      </c>
      <c r="C36" s="16" t="str">
        <f t="shared" si="15"/>
        <v>Fri</v>
      </c>
      <c r="D36" s="68">
        <v>44666</v>
      </c>
      <c r="E36">
        <f t="shared" si="33"/>
        <v>168</v>
      </c>
      <c r="F36" s="61">
        <f t="shared" si="17"/>
        <v>242</v>
      </c>
      <c r="G36" s="61">
        <f t="shared" si="18"/>
        <v>51</v>
      </c>
      <c r="H36" s="61">
        <f t="shared" si="19"/>
        <v>15</v>
      </c>
      <c r="I36" s="61">
        <f t="shared" si="20"/>
        <v>0</v>
      </c>
      <c r="J36" s="61">
        <f t="shared" si="21"/>
        <v>0</v>
      </c>
      <c r="K36" s="11">
        <f t="shared" si="28"/>
        <v>0.69421487603305787</v>
      </c>
      <c r="L36" s="11">
        <f t="shared" si="22"/>
        <v>0.29794637148619341</v>
      </c>
      <c r="M36" s="11">
        <f t="shared" si="31"/>
        <v>0.24173553719008264</v>
      </c>
      <c r="N36" s="11">
        <f t="shared" si="23"/>
        <v>0.1379863542618546</v>
      </c>
      <c r="O36" s="11">
        <f t="shared" si="24"/>
        <v>0</v>
      </c>
      <c r="P36" s="11">
        <f t="shared" si="25"/>
        <v>0</v>
      </c>
      <c r="Q36" s="20">
        <f t="shared" si="26"/>
        <v>0.43593272574804798</v>
      </c>
      <c r="R36" s="20">
        <f t="shared" si="27"/>
        <v>1</v>
      </c>
      <c r="S36" s="5">
        <f t="shared" si="29"/>
        <v>164.89252149655667</v>
      </c>
      <c r="T36" s="5">
        <f t="shared" si="34"/>
        <v>148.403269346901</v>
      </c>
      <c r="U36" s="5">
        <f>U31</f>
        <v>161.39543814889558</v>
      </c>
      <c r="V36" s="5">
        <f>V31</f>
        <v>145.25589433400603</v>
      </c>
      <c r="W36" s="62">
        <f t="shared" si="30"/>
        <v>0.93595041322314054</v>
      </c>
    </row>
    <row r="37" spans="2:23" x14ac:dyDescent="0.35">
      <c r="B37">
        <v>16</v>
      </c>
      <c r="C37" s="16" t="str">
        <f t="shared" si="15"/>
        <v>Sat</v>
      </c>
      <c r="D37" s="12">
        <v>44667</v>
      </c>
      <c r="E37">
        <f t="shared" si="33"/>
        <v>167</v>
      </c>
      <c r="F37" s="61">
        <f t="shared" si="17"/>
        <v>242</v>
      </c>
      <c r="G37" s="61">
        <f t="shared" si="18"/>
        <v>51</v>
      </c>
      <c r="H37" s="61">
        <f t="shared" si="19"/>
        <v>16</v>
      </c>
      <c r="I37" s="61">
        <f t="shared" si="20"/>
        <v>0</v>
      </c>
      <c r="J37" s="61">
        <f t="shared" si="21"/>
        <v>0</v>
      </c>
      <c r="K37" s="11">
        <f t="shared" si="28"/>
        <v>0.69008264462809921</v>
      </c>
      <c r="L37" s="11">
        <f t="shared" si="22"/>
        <v>0.29617288117972795</v>
      </c>
      <c r="M37" s="11">
        <f t="shared" si="31"/>
        <v>0.24380165289256198</v>
      </c>
      <c r="N37" s="11">
        <f t="shared" si="23"/>
        <v>0.1391657248111012</v>
      </c>
      <c r="O37" s="11">
        <f t="shared" si="24"/>
        <v>0</v>
      </c>
      <c r="P37" s="11">
        <f t="shared" si="25"/>
        <v>0</v>
      </c>
      <c r="Q37" s="20">
        <f t="shared" si="26"/>
        <v>0.43533860599082919</v>
      </c>
      <c r="R37" s="20">
        <f t="shared" si="27"/>
        <v>0.99999999999999989</v>
      </c>
      <c r="S37" s="5">
        <f t="shared" si="29"/>
        <v>165.28650562308303</v>
      </c>
      <c r="T37" s="5">
        <f t="shared" si="34"/>
        <v>148.75785506077474</v>
      </c>
      <c r="U37" s="5">
        <f>U31</f>
        <v>161.39543814889558</v>
      </c>
      <c r="V37" s="5">
        <f>V31</f>
        <v>145.25589433400603</v>
      </c>
      <c r="W37" s="62">
        <f t="shared" si="30"/>
        <v>0.93388429752066116</v>
      </c>
    </row>
    <row r="38" spans="2:23" x14ac:dyDescent="0.35">
      <c r="B38">
        <v>17</v>
      </c>
      <c r="C38" s="16" t="str">
        <f t="shared" si="15"/>
        <v>Sun</v>
      </c>
      <c r="D38" s="12">
        <v>44668</v>
      </c>
      <c r="E38">
        <f t="shared" si="33"/>
        <v>166</v>
      </c>
      <c r="F38" s="61">
        <f t="shared" si="17"/>
        <v>242</v>
      </c>
      <c r="G38" s="61">
        <f t="shared" si="18"/>
        <v>51</v>
      </c>
      <c r="H38" s="61">
        <f t="shared" si="19"/>
        <v>17</v>
      </c>
      <c r="I38" s="61">
        <f t="shared" si="20"/>
        <v>0</v>
      </c>
      <c r="J38" s="61">
        <f t="shared" si="21"/>
        <v>0</v>
      </c>
      <c r="K38" s="11">
        <f t="shared" si="28"/>
        <v>0.68595041322314054</v>
      </c>
      <c r="L38" s="11">
        <f t="shared" si="22"/>
        <v>0.2943993908732625</v>
      </c>
      <c r="M38" s="11">
        <f t="shared" si="31"/>
        <v>0.24586776859504134</v>
      </c>
      <c r="N38" s="11">
        <f t="shared" si="23"/>
        <v>0.14034509536034784</v>
      </c>
      <c r="O38" s="11">
        <f t="shared" si="24"/>
        <v>0</v>
      </c>
      <c r="P38" s="11">
        <f t="shared" si="25"/>
        <v>0</v>
      </c>
      <c r="Q38" s="20">
        <f t="shared" si="26"/>
        <v>0.43474448623361034</v>
      </c>
      <c r="R38" s="20">
        <f t="shared" si="27"/>
        <v>1</v>
      </c>
      <c r="S38" s="5">
        <f t="shared" si="29"/>
        <v>165.6815665832946</v>
      </c>
      <c r="T38" s="5">
        <f t="shared" si="34"/>
        <v>149.11340992496514</v>
      </c>
      <c r="U38" s="5">
        <f>AVERAGE(S32:S35)</f>
        <v>163.91290700221265</v>
      </c>
      <c r="V38" s="5">
        <f>AVERAGE(T32:T35)</f>
        <v>147.52161630199137</v>
      </c>
      <c r="W38" s="62">
        <f t="shared" si="30"/>
        <v>0.93181818181818188</v>
      </c>
    </row>
    <row r="39" spans="2:23" x14ac:dyDescent="0.35">
      <c r="B39">
        <v>18</v>
      </c>
      <c r="C39" s="16" t="str">
        <f t="shared" si="15"/>
        <v>Mon</v>
      </c>
      <c r="D39" s="68">
        <v>44669</v>
      </c>
      <c r="E39">
        <f t="shared" si="33"/>
        <v>165</v>
      </c>
      <c r="F39" s="61">
        <f t="shared" si="17"/>
        <v>242</v>
      </c>
      <c r="G39" s="61">
        <f t="shared" si="18"/>
        <v>51</v>
      </c>
      <c r="H39" s="61">
        <f t="shared" si="19"/>
        <v>18</v>
      </c>
      <c r="I39" s="61">
        <f t="shared" si="20"/>
        <v>0</v>
      </c>
      <c r="J39" s="61">
        <f t="shared" si="21"/>
        <v>0</v>
      </c>
      <c r="K39" s="11">
        <f t="shared" si="28"/>
        <v>0.68181818181818177</v>
      </c>
      <c r="L39" s="11">
        <f t="shared" si="22"/>
        <v>0.29262590056679705</v>
      </c>
      <c r="M39" s="11">
        <f t="shared" si="31"/>
        <v>0.24793388429752067</v>
      </c>
      <c r="N39" s="11">
        <f t="shared" si="23"/>
        <v>0.14152446590959447</v>
      </c>
      <c r="O39" s="11">
        <f t="shared" si="24"/>
        <v>0</v>
      </c>
      <c r="P39" s="11">
        <f t="shared" si="25"/>
        <v>0</v>
      </c>
      <c r="Q39" s="20">
        <f t="shared" si="26"/>
        <v>0.43415036647639149</v>
      </c>
      <c r="R39" s="20">
        <f t="shared" si="27"/>
        <v>1</v>
      </c>
      <c r="S39" s="5">
        <f t="shared" si="29"/>
        <v>166.07770879802018</v>
      </c>
      <c r="T39" s="5">
        <f t="shared" si="34"/>
        <v>149.46993791821816</v>
      </c>
      <c r="U39" s="5">
        <f>U38</f>
        <v>163.91290700221265</v>
      </c>
      <c r="V39" s="5">
        <f>V38</f>
        <v>147.52161630199137</v>
      </c>
      <c r="W39" s="62">
        <f t="shared" si="30"/>
        <v>0.92975206611570238</v>
      </c>
    </row>
    <row r="40" spans="2:23" x14ac:dyDescent="0.35">
      <c r="B40">
        <v>19</v>
      </c>
      <c r="C40" s="16" t="str">
        <f t="shared" si="15"/>
        <v>Tue</v>
      </c>
      <c r="D40" s="12">
        <v>44670</v>
      </c>
      <c r="E40">
        <f t="shared" si="33"/>
        <v>164</v>
      </c>
      <c r="F40" s="61">
        <f t="shared" si="17"/>
        <v>242</v>
      </c>
      <c r="G40" s="61">
        <f t="shared" si="18"/>
        <v>51</v>
      </c>
      <c r="H40" s="61">
        <f t="shared" si="19"/>
        <v>19</v>
      </c>
      <c r="I40" s="61">
        <f t="shared" si="20"/>
        <v>0</v>
      </c>
      <c r="J40" s="61">
        <f t="shared" si="21"/>
        <v>0</v>
      </c>
      <c r="K40" s="11">
        <f t="shared" si="28"/>
        <v>0.6776859504132231</v>
      </c>
      <c r="L40" s="11">
        <f t="shared" si="22"/>
        <v>0.2908524102603316</v>
      </c>
      <c r="M40" s="11">
        <f t="shared" si="31"/>
        <v>0.25</v>
      </c>
      <c r="N40" s="11">
        <f t="shared" si="23"/>
        <v>0.14270383645884108</v>
      </c>
      <c r="O40" s="11">
        <f t="shared" si="24"/>
        <v>0</v>
      </c>
      <c r="P40" s="11">
        <f t="shared" si="25"/>
        <v>0</v>
      </c>
      <c r="Q40" s="20">
        <f t="shared" si="26"/>
        <v>0.4335562467191727</v>
      </c>
      <c r="R40" s="20">
        <f t="shared" si="27"/>
        <v>1</v>
      </c>
      <c r="S40" s="5">
        <f t="shared" si="29"/>
        <v>166.4749367123209</v>
      </c>
      <c r="T40" s="5">
        <f t="shared" si="34"/>
        <v>149.8274430410888</v>
      </c>
      <c r="U40" s="5">
        <f>U38</f>
        <v>163.91290700221265</v>
      </c>
      <c r="V40" s="5">
        <f>V38</f>
        <v>147.52161630199137</v>
      </c>
      <c r="W40" s="62">
        <f t="shared" si="30"/>
        <v>0.9276859504132231</v>
      </c>
    </row>
    <row r="41" spans="2:23" x14ac:dyDescent="0.35">
      <c r="B41">
        <v>20</v>
      </c>
      <c r="C41" s="16" t="str">
        <f t="shared" si="15"/>
        <v>Wed</v>
      </c>
      <c r="D41" s="12">
        <v>44671</v>
      </c>
      <c r="E41">
        <f t="shared" si="33"/>
        <v>163</v>
      </c>
      <c r="F41" s="61">
        <f t="shared" si="17"/>
        <v>242</v>
      </c>
      <c r="G41" s="61">
        <f t="shared" si="18"/>
        <v>51</v>
      </c>
      <c r="H41" s="61">
        <f t="shared" si="19"/>
        <v>20</v>
      </c>
      <c r="I41" s="61">
        <f t="shared" si="20"/>
        <v>0</v>
      </c>
      <c r="J41" s="61">
        <f t="shared" si="21"/>
        <v>0</v>
      </c>
      <c r="K41" s="11">
        <f t="shared" si="28"/>
        <v>0.67355371900826444</v>
      </c>
      <c r="L41" s="11">
        <f t="shared" si="22"/>
        <v>0.2890789199538662</v>
      </c>
      <c r="M41" s="11">
        <f t="shared" si="31"/>
        <v>0.25206611570247933</v>
      </c>
      <c r="N41" s="11">
        <f t="shared" si="23"/>
        <v>0.14388320700808768</v>
      </c>
      <c r="O41" s="11">
        <f t="shared" si="24"/>
        <v>0</v>
      </c>
      <c r="P41" s="11">
        <f t="shared" si="25"/>
        <v>0</v>
      </c>
      <c r="Q41" s="20">
        <f t="shared" si="26"/>
        <v>0.43296212696195391</v>
      </c>
      <c r="R41" s="20">
        <f t="shared" si="27"/>
        <v>1</v>
      </c>
      <c r="S41" s="5">
        <f t="shared" si="29"/>
        <v>166.87325479565635</v>
      </c>
      <c r="T41" s="5">
        <f t="shared" si="34"/>
        <v>150.18592931609072</v>
      </c>
      <c r="U41" s="5">
        <f>U38</f>
        <v>163.91290700221265</v>
      </c>
      <c r="V41" s="5">
        <f>V38</f>
        <v>147.52161630199137</v>
      </c>
      <c r="W41" s="62">
        <f t="shared" si="30"/>
        <v>0.92561983471074383</v>
      </c>
    </row>
    <row r="42" spans="2:23" x14ac:dyDescent="0.35">
      <c r="B42">
        <v>21</v>
      </c>
      <c r="C42" s="16" t="str">
        <f t="shared" si="15"/>
        <v>Thu</v>
      </c>
      <c r="D42" s="12">
        <v>44672</v>
      </c>
      <c r="E42">
        <f t="shared" si="33"/>
        <v>162</v>
      </c>
      <c r="F42" s="61">
        <f t="shared" si="17"/>
        <v>242</v>
      </c>
      <c r="G42" s="61">
        <f t="shared" si="18"/>
        <v>51</v>
      </c>
      <c r="H42" s="61">
        <f t="shared" si="19"/>
        <v>21</v>
      </c>
      <c r="I42" s="61">
        <f t="shared" si="20"/>
        <v>0</v>
      </c>
      <c r="J42" s="61">
        <f t="shared" si="21"/>
        <v>0</v>
      </c>
      <c r="K42" s="11">
        <f t="shared" si="28"/>
        <v>0.66942148760330578</v>
      </c>
      <c r="L42" s="11">
        <f t="shared" si="22"/>
        <v>0.28730542964740075</v>
      </c>
      <c r="M42" s="11">
        <f t="shared" si="31"/>
        <v>0.25413223140495866</v>
      </c>
      <c r="N42" s="11">
        <f t="shared" si="23"/>
        <v>0.14506257755733432</v>
      </c>
      <c r="O42" s="11">
        <f t="shared" si="24"/>
        <v>0</v>
      </c>
      <c r="P42" s="11">
        <f t="shared" si="25"/>
        <v>0</v>
      </c>
      <c r="Q42" s="20">
        <f t="shared" si="26"/>
        <v>0.43236800720473506</v>
      </c>
      <c r="R42" s="20">
        <f t="shared" si="27"/>
        <v>1</v>
      </c>
      <c r="S42" s="5">
        <f t="shared" si="29"/>
        <v>167.27266754205209</v>
      </c>
      <c r="T42" s="5">
        <f t="shared" si="34"/>
        <v>150.54540078784689</v>
      </c>
      <c r="U42" s="5">
        <f>U38</f>
        <v>163.91290700221265</v>
      </c>
      <c r="V42" s="5">
        <f>V38</f>
        <v>147.52161630199137</v>
      </c>
      <c r="W42" s="62">
        <f t="shared" si="30"/>
        <v>0.92355371900826444</v>
      </c>
    </row>
    <row r="43" spans="2:23" x14ac:dyDescent="0.35">
      <c r="B43">
        <v>22</v>
      </c>
      <c r="C43" s="16" t="str">
        <f t="shared" si="15"/>
        <v>Fri</v>
      </c>
      <c r="D43" s="12">
        <v>44673</v>
      </c>
      <c r="E43">
        <f t="shared" si="33"/>
        <v>161</v>
      </c>
      <c r="F43" s="61">
        <f t="shared" si="17"/>
        <v>242</v>
      </c>
      <c r="G43" s="61">
        <f t="shared" si="18"/>
        <v>51</v>
      </c>
      <c r="H43" s="61">
        <f t="shared" si="19"/>
        <v>22</v>
      </c>
      <c r="I43" s="61">
        <f t="shared" si="20"/>
        <v>0</v>
      </c>
      <c r="J43" s="61">
        <f t="shared" si="21"/>
        <v>0</v>
      </c>
      <c r="K43" s="11">
        <f t="shared" si="28"/>
        <v>0.66528925619834711</v>
      </c>
      <c r="L43" s="11">
        <f t="shared" si="22"/>
        <v>0.28553193934093529</v>
      </c>
      <c r="M43" s="11">
        <f t="shared" si="31"/>
        <v>0.256198347107438</v>
      </c>
      <c r="N43" s="11">
        <f t="shared" si="23"/>
        <v>0.14624194810658092</v>
      </c>
      <c r="O43" s="11">
        <f t="shared" si="24"/>
        <v>0</v>
      </c>
      <c r="P43" s="11">
        <f t="shared" si="25"/>
        <v>0</v>
      </c>
      <c r="Q43" s="20">
        <f t="shared" si="26"/>
        <v>0.43177388744751621</v>
      </c>
      <c r="R43" s="20">
        <f t="shared" si="27"/>
        <v>1</v>
      </c>
      <c r="S43" s="5">
        <f t="shared" si="29"/>
        <v>167.67317947026876</v>
      </c>
      <c r="T43" s="5">
        <f t="shared" si="34"/>
        <v>150.9058615232419</v>
      </c>
      <c r="U43" s="5">
        <f>U38</f>
        <v>163.91290700221265</v>
      </c>
      <c r="V43" s="5">
        <f>V38</f>
        <v>147.52161630199137</v>
      </c>
      <c r="W43" s="62">
        <f t="shared" si="30"/>
        <v>0.92148760330578505</v>
      </c>
    </row>
    <row r="44" spans="2:23" x14ac:dyDescent="0.35">
      <c r="B44">
        <v>23</v>
      </c>
      <c r="C44" s="16" t="str">
        <f t="shared" si="15"/>
        <v>Sat</v>
      </c>
      <c r="D44" s="12">
        <v>44674</v>
      </c>
      <c r="E44">
        <f t="shared" si="33"/>
        <v>160</v>
      </c>
      <c r="F44" s="61">
        <f t="shared" si="17"/>
        <v>242</v>
      </c>
      <c r="G44" s="61">
        <f t="shared" si="18"/>
        <v>51</v>
      </c>
      <c r="H44" s="61">
        <f t="shared" si="19"/>
        <v>23</v>
      </c>
      <c r="I44" s="61">
        <f t="shared" si="20"/>
        <v>0</v>
      </c>
      <c r="J44" s="61">
        <f t="shared" si="21"/>
        <v>0</v>
      </c>
      <c r="K44" s="11">
        <f t="shared" si="28"/>
        <v>0.66115702479338845</v>
      </c>
      <c r="L44" s="11">
        <f t="shared" si="22"/>
        <v>0.2837584490344699</v>
      </c>
      <c r="M44" s="11">
        <f t="shared" si="31"/>
        <v>0.25826446280991733</v>
      </c>
      <c r="N44" s="11">
        <f t="shared" si="23"/>
        <v>0.14742131865582755</v>
      </c>
      <c r="O44" s="11">
        <f t="shared" si="24"/>
        <v>0</v>
      </c>
      <c r="P44" s="11">
        <f t="shared" si="25"/>
        <v>0</v>
      </c>
      <c r="Q44" s="20">
        <f t="shared" si="26"/>
        <v>0.43117976769029742</v>
      </c>
      <c r="R44" s="20">
        <f t="shared" si="27"/>
        <v>1</v>
      </c>
      <c r="S44" s="5">
        <f t="shared" si="29"/>
        <v>168.07479512397245</v>
      </c>
      <c r="T44" s="5">
        <f t="shared" si="34"/>
        <v>151.26731561157521</v>
      </c>
      <c r="U44" s="5">
        <f>U38</f>
        <v>163.91290700221265</v>
      </c>
      <c r="V44" s="5">
        <f>V38</f>
        <v>147.52161630199137</v>
      </c>
      <c r="W44" s="62">
        <f t="shared" si="30"/>
        <v>0.91942148760330578</v>
      </c>
    </row>
    <row r="45" spans="2:23" x14ac:dyDescent="0.35">
      <c r="B45">
        <v>24</v>
      </c>
      <c r="C45" s="16" t="str">
        <f t="shared" si="15"/>
        <v>Sun</v>
      </c>
      <c r="D45" s="12">
        <v>44675</v>
      </c>
      <c r="E45">
        <f t="shared" si="33"/>
        <v>159</v>
      </c>
      <c r="F45" s="61">
        <f t="shared" si="17"/>
        <v>242</v>
      </c>
      <c r="G45" s="61">
        <f t="shared" si="18"/>
        <v>51</v>
      </c>
      <c r="H45" s="61">
        <f t="shared" si="19"/>
        <v>24</v>
      </c>
      <c r="I45" s="61">
        <f t="shared" si="20"/>
        <v>0</v>
      </c>
      <c r="J45" s="61">
        <f t="shared" si="21"/>
        <v>0</v>
      </c>
      <c r="K45" s="11">
        <f t="shared" si="28"/>
        <v>0.65702479338842978</v>
      </c>
      <c r="L45" s="11">
        <f t="shared" si="22"/>
        <v>0.28198495872800444</v>
      </c>
      <c r="M45" s="11">
        <f t="shared" si="31"/>
        <v>0.26033057851239672</v>
      </c>
      <c r="N45" s="11">
        <f t="shared" si="23"/>
        <v>0.14860068920507419</v>
      </c>
      <c r="O45" s="11">
        <f t="shared" si="24"/>
        <v>0</v>
      </c>
      <c r="P45" s="11">
        <f t="shared" si="25"/>
        <v>0</v>
      </c>
      <c r="Q45" s="20">
        <f t="shared" si="26"/>
        <v>0.43058564793307863</v>
      </c>
      <c r="R45" s="20">
        <f t="shared" si="27"/>
        <v>1</v>
      </c>
      <c r="S45" s="5">
        <f t="shared" si="29"/>
        <v>168.47751907190676</v>
      </c>
      <c r="T45" s="5">
        <f t="shared" si="34"/>
        <v>151.62976716471607</v>
      </c>
      <c r="U45" s="5">
        <f>AVERAGE(S40:S43)</f>
        <v>167.07350963007454</v>
      </c>
      <c r="V45" s="5">
        <f>AVERAGE(T40:T43)</f>
        <v>150.36615866706708</v>
      </c>
      <c r="W45" s="62">
        <f t="shared" si="30"/>
        <v>0.9173553719008265</v>
      </c>
    </row>
    <row r="46" spans="2:23" x14ac:dyDescent="0.35">
      <c r="B46">
        <v>25</v>
      </c>
      <c r="C46" s="16" t="str">
        <f t="shared" si="15"/>
        <v>Mon</v>
      </c>
      <c r="D46" s="12">
        <v>44676</v>
      </c>
      <c r="E46">
        <f t="shared" si="33"/>
        <v>158</v>
      </c>
      <c r="F46" s="61">
        <f t="shared" si="17"/>
        <v>242</v>
      </c>
      <c r="G46" s="61">
        <f t="shared" si="18"/>
        <v>51</v>
      </c>
      <c r="H46" s="61">
        <f t="shared" si="19"/>
        <v>25</v>
      </c>
      <c r="I46" s="61">
        <f t="shared" si="20"/>
        <v>0</v>
      </c>
      <c r="J46" s="61">
        <f t="shared" si="21"/>
        <v>0</v>
      </c>
      <c r="K46" s="11">
        <f t="shared" si="28"/>
        <v>0.65289256198347112</v>
      </c>
      <c r="L46" s="11">
        <f t="shared" si="22"/>
        <v>0.28021146842153904</v>
      </c>
      <c r="M46" s="11">
        <f t="shared" si="31"/>
        <v>0.26239669421487605</v>
      </c>
      <c r="N46" s="11">
        <f t="shared" si="23"/>
        <v>0.14978005975432082</v>
      </c>
      <c r="O46" s="11">
        <f t="shared" si="24"/>
        <v>0</v>
      </c>
      <c r="P46" s="11">
        <f t="shared" si="25"/>
        <v>0</v>
      </c>
      <c r="Q46" s="20">
        <f t="shared" si="26"/>
        <v>0.42999152817585984</v>
      </c>
      <c r="R46" s="20">
        <f t="shared" si="27"/>
        <v>1</v>
      </c>
      <c r="S46" s="5">
        <f t="shared" si="29"/>
        <v>168.88135590806547</v>
      </c>
      <c r="T46" s="5">
        <f t="shared" si="34"/>
        <v>151.99322031725893</v>
      </c>
      <c r="U46" s="5">
        <f>U45</f>
        <v>167.07350963007454</v>
      </c>
      <c r="V46" s="5">
        <f>V45</f>
        <v>150.36615866706708</v>
      </c>
      <c r="W46" s="62">
        <f t="shared" si="30"/>
        <v>0.91528925619834722</v>
      </c>
    </row>
    <row r="47" spans="2:23" x14ac:dyDescent="0.35">
      <c r="B47">
        <v>26</v>
      </c>
      <c r="C47" s="16" t="str">
        <f t="shared" si="15"/>
        <v>Tue</v>
      </c>
      <c r="D47" s="12">
        <v>44677</v>
      </c>
      <c r="E47">
        <f t="shared" si="33"/>
        <v>157</v>
      </c>
      <c r="F47" s="61">
        <f t="shared" si="17"/>
        <v>242</v>
      </c>
      <c r="G47" s="61">
        <f t="shared" si="18"/>
        <v>51</v>
      </c>
      <c r="H47" s="61">
        <f t="shared" si="19"/>
        <v>26</v>
      </c>
      <c r="I47" s="61">
        <f t="shared" si="20"/>
        <v>0</v>
      </c>
      <c r="J47" s="61">
        <f t="shared" si="21"/>
        <v>0</v>
      </c>
      <c r="K47" s="11">
        <f t="shared" si="28"/>
        <v>0.64876033057851235</v>
      </c>
      <c r="L47" s="11">
        <f t="shared" si="22"/>
        <v>0.27843797811507354</v>
      </c>
      <c r="M47" s="11">
        <f t="shared" si="31"/>
        <v>0.26446280991735538</v>
      </c>
      <c r="N47" s="11">
        <f t="shared" si="23"/>
        <v>0.15095943030356743</v>
      </c>
      <c r="O47" s="11">
        <f t="shared" si="24"/>
        <v>0</v>
      </c>
      <c r="P47" s="11">
        <f t="shared" si="25"/>
        <v>0</v>
      </c>
      <c r="Q47" s="20">
        <f t="shared" si="26"/>
        <v>0.42939740841864094</v>
      </c>
      <c r="R47" s="20">
        <f t="shared" si="27"/>
        <v>1</v>
      </c>
      <c r="S47" s="5">
        <f t="shared" si="29"/>
        <v>169.286310251868</v>
      </c>
      <c r="T47" s="5">
        <f t="shared" si="34"/>
        <v>152.3576792266812</v>
      </c>
      <c r="U47" s="5">
        <f>U45</f>
        <v>167.07350963007454</v>
      </c>
      <c r="V47" s="5">
        <f>V45</f>
        <v>150.36615866706708</v>
      </c>
      <c r="W47" s="62">
        <f t="shared" si="30"/>
        <v>0.91322314049586772</v>
      </c>
    </row>
    <row r="48" spans="2:23" x14ac:dyDescent="0.35">
      <c r="B48">
        <v>27</v>
      </c>
      <c r="C48" s="16" t="str">
        <f t="shared" si="15"/>
        <v>Wed</v>
      </c>
      <c r="D48" s="12">
        <v>44678</v>
      </c>
      <c r="E48">
        <f t="shared" si="33"/>
        <v>156</v>
      </c>
      <c r="F48" s="61">
        <f t="shared" si="17"/>
        <v>242</v>
      </c>
      <c r="G48" s="61">
        <f t="shared" si="18"/>
        <v>51</v>
      </c>
      <c r="H48" s="61">
        <f t="shared" si="19"/>
        <v>27</v>
      </c>
      <c r="I48" s="61">
        <f t="shared" si="20"/>
        <v>0</v>
      </c>
      <c r="J48" s="61">
        <f t="shared" si="21"/>
        <v>0</v>
      </c>
      <c r="K48" s="11">
        <f t="shared" si="28"/>
        <v>0.64462809917355368</v>
      </c>
      <c r="L48" s="11">
        <f t="shared" si="22"/>
        <v>0.27666448780860814</v>
      </c>
      <c r="M48" s="11">
        <f t="shared" si="31"/>
        <v>0.26652892561983471</v>
      </c>
      <c r="N48" s="11">
        <f t="shared" si="23"/>
        <v>0.15213880085281403</v>
      </c>
      <c r="O48" s="11">
        <f t="shared" si="24"/>
        <v>0</v>
      </c>
      <c r="P48" s="11">
        <f t="shared" si="25"/>
        <v>0</v>
      </c>
      <c r="Q48" s="20">
        <f t="shared" si="26"/>
        <v>0.42880328866142214</v>
      </c>
      <c r="R48" s="20">
        <f t="shared" si="27"/>
        <v>1</v>
      </c>
      <c r="S48" s="5">
        <f t="shared" si="29"/>
        <v>169.6923867483348</v>
      </c>
      <c r="T48" s="5">
        <f t="shared" si="34"/>
        <v>152.72314807350133</v>
      </c>
      <c r="U48" s="5">
        <f>U45</f>
        <v>167.07350963007454</v>
      </c>
      <c r="V48" s="5">
        <f>V45</f>
        <v>150.36615866706708</v>
      </c>
      <c r="W48" s="62">
        <f t="shared" si="30"/>
        <v>0.91115702479338845</v>
      </c>
    </row>
    <row r="49" spans="2:23" x14ac:dyDescent="0.35">
      <c r="B49">
        <v>28</v>
      </c>
      <c r="C49" s="16" t="str">
        <f t="shared" si="15"/>
        <v>Thu</v>
      </c>
      <c r="D49" s="12">
        <v>44679</v>
      </c>
      <c r="E49">
        <f t="shared" si="33"/>
        <v>155</v>
      </c>
      <c r="F49" s="61">
        <f t="shared" si="17"/>
        <v>242</v>
      </c>
      <c r="G49" s="61">
        <f t="shared" si="18"/>
        <v>51</v>
      </c>
      <c r="H49" s="61">
        <f t="shared" si="19"/>
        <v>28</v>
      </c>
      <c r="I49" s="61">
        <f t="shared" si="20"/>
        <v>0</v>
      </c>
      <c r="J49" s="61">
        <f t="shared" si="21"/>
        <v>0</v>
      </c>
      <c r="K49" s="11">
        <f t="shared" si="28"/>
        <v>0.64049586776859502</v>
      </c>
      <c r="L49" s="11">
        <f t="shared" si="22"/>
        <v>0.27489099750214269</v>
      </c>
      <c r="M49" s="11">
        <f t="shared" si="31"/>
        <v>0.26859504132231404</v>
      </c>
      <c r="N49" s="11">
        <f t="shared" si="23"/>
        <v>0.15331817140206067</v>
      </c>
      <c r="O49" s="11">
        <f t="shared" si="24"/>
        <v>0</v>
      </c>
      <c r="P49" s="11">
        <f t="shared" si="25"/>
        <v>0</v>
      </c>
      <c r="Q49" s="20">
        <f t="shared" si="26"/>
        <v>0.42820916890420335</v>
      </c>
      <c r="R49" s="20">
        <f t="shared" si="27"/>
        <v>1</v>
      </c>
      <c r="S49" s="5">
        <f t="shared" si="29"/>
        <v>170.0995900682656</v>
      </c>
      <c r="T49" s="5">
        <f t="shared" si="34"/>
        <v>153.08963106143904</v>
      </c>
      <c r="U49" s="5">
        <f>U45</f>
        <v>167.07350963007454</v>
      </c>
      <c r="V49" s="5">
        <f>V45</f>
        <v>150.36615866706708</v>
      </c>
      <c r="W49" s="62">
        <f t="shared" si="30"/>
        <v>0.90909090909090906</v>
      </c>
    </row>
    <row r="50" spans="2:23" x14ac:dyDescent="0.35">
      <c r="B50">
        <v>29</v>
      </c>
      <c r="C50" s="16" t="str">
        <f t="shared" si="15"/>
        <v>Fri</v>
      </c>
      <c r="D50" s="12">
        <v>44680</v>
      </c>
      <c r="E50">
        <f t="shared" si="33"/>
        <v>154</v>
      </c>
      <c r="F50" s="61">
        <f t="shared" si="17"/>
        <v>242</v>
      </c>
      <c r="G50" s="61">
        <f t="shared" si="18"/>
        <v>51</v>
      </c>
      <c r="H50" s="61">
        <f t="shared" si="19"/>
        <v>29</v>
      </c>
      <c r="I50" s="61">
        <f t="shared" si="20"/>
        <v>0</v>
      </c>
      <c r="J50" s="61">
        <f t="shared" si="21"/>
        <v>0</v>
      </c>
      <c r="K50" s="11">
        <f t="shared" si="28"/>
        <v>0.63636363636363635</v>
      </c>
      <c r="L50" s="11">
        <f t="shared" si="22"/>
        <v>0.27311750719567723</v>
      </c>
      <c r="M50" s="11">
        <f t="shared" si="31"/>
        <v>0.27066115702479338</v>
      </c>
      <c r="N50" s="11">
        <f t="shared" si="23"/>
        <v>0.15449754195130727</v>
      </c>
      <c r="O50" s="11">
        <f t="shared" si="24"/>
        <v>0</v>
      </c>
      <c r="P50" s="11">
        <f t="shared" si="25"/>
        <v>0</v>
      </c>
      <c r="Q50" s="20">
        <f t="shared" si="26"/>
        <v>0.4276150491469845</v>
      </c>
      <c r="R50" s="20">
        <f t="shared" si="27"/>
        <v>1</v>
      </c>
      <c r="S50" s="5">
        <f t="shared" si="29"/>
        <v>170.50792490841792</v>
      </c>
      <c r="T50" s="5">
        <f t="shared" si="34"/>
        <v>153.45713241757613</v>
      </c>
      <c r="U50" s="5">
        <f>U45</f>
        <v>167.07350963007454</v>
      </c>
      <c r="V50" s="5">
        <f>V45</f>
        <v>150.36615866706708</v>
      </c>
      <c r="W50" s="62">
        <f t="shared" si="30"/>
        <v>0.90702479338842967</v>
      </c>
    </row>
    <row r="51" spans="2:23" x14ac:dyDescent="0.35">
      <c r="B51">
        <v>30</v>
      </c>
      <c r="C51" s="16" t="str">
        <f t="shared" si="15"/>
        <v>Sat</v>
      </c>
      <c r="D51" s="12">
        <v>44681</v>
      </c>
      <c r="E51">
        <f t="shared" si="33"/>
        <v>153</v>
      </c>
      <c r="F51" s="61">
        <f t="shared" si="17"/>
        <v>242</v>
      </c>
      <c r="G51" s="61">
        <f t="shared" si="18"/>
        <v>51</v>
      </c>
      <c r="H51" s="61">
        <f t="shared" si="19"/>
        <v>30</v>
      </c>
      <c r="I51" s="61">
        <f t="shared" si="20"/>
        <v>0</v>
      </c>
      <c r="J51" s="61">
        <f t="shared" si="21"/>
        <v>0</v>
      </c>
      <c r="K51" s="11">
        <f t="shared" si="28"/>
        <v>0.63223140495867769</v>
      </c>
      <c r="L51" s="11">
        <f t="shared" si="22"/>
        <v>0.27134401688921184</v>
      </c>
      <c r="M51" s="11">
        <f t="shared" si="31"/>
        <v>0.27272727272727271</v>
      </c>
      <c r="N51" s="11">
        <f t="shared" si="23"/>
        <v>0.15567691250055388</v>
      </c>
      <c r="O51" s="11">
        <f t="shared" si="24"/>
        <v>0</v>
      </c>
      <c r="P51" s="11">
        <f t="shared" si="25"/>
        <v>0</v>
      </c>
      <c r="Q51" s="20">
        <f t="shared" si="26"/>
        <v>0.42702092938976571</v>
      </c>
      <c r="R51" s="20">
        <f t="shared" si="27"/>
        <v>1</v>
      </c>
      <c r="S51" s="5">
        <f t="shared" si="29"/>
        <v>170.91739599168804</v>
      </c>
      <c r="T51" s="5">
        <f t="shared" si="34"/>
        <v>153.82565639251925</v>
      </c>
      <c r="U51" s="5">
        <f>U45</f>
        <v>167.07350963007454</v>
      </c>
      <c r="V51" s="5">
        <f>V45</f>
        <v>150.36615866706708</v>
      </c>
      <c r="W51" s="62">
        <f t="shared" si="30"/>
        <v>0.9049586776859504</v>
      </c>
    </row>
    <row r="52" spans="2:23" x14ac:dyDescent="0.35">
      <c r="B52">
        <v>31</v>
      </c>
      <c r="C52" s="16" t="str">
        <f t="shared" si="15"/>
        <v>Sun</v>
      </c>
      <c r="D52" s="12">
        <v>44682</v>
      </c>
      <c r="E52">
        <f t="shared" si="33"/>
        <v>152</v>
      </c>
      <c r="F52" s="61">
        <f t="shared" si="17"/>
        <v>242</v>
      </c>
      <c r="G52" s="61">
        <f t="shared" si="18"/>
        <v>51</v>
      </c>
      <c r="H52" s="61">
        <f t="shared" si="19"/>
        <v>31</v>
      </c>
      <c r="I52" s="61">
        <f t="shared" si="20"/>
        <v>0</v>
      </c>
      <c r="J52" s="61">
        <f t="shared" si="21"/>
        <v>0</v>
      </c>
      <c r="K52" s="11">
        <f t="shared" si="28"/>
        <v>0.62809917355371903</v>
      </c>
      <c r="L52" s="11">
        <f t="shared" si="22"/>
        <v>0.26957052658274638</v>
      </c>
      <c r="M52" s="11">
        <f t="shared" si="31"/>
        <v>0.27479338842975204</v>
      </c>
      <c r="N52" s="11">
        <f t="shared" si="23"/>
        <v>0.15685628304980051</v>
      </c>
      <c r="O52" s="11">
        <f t="shared" si="24"/>
        <v>0</v>
      </c>
      <c r="P52" s="11">
        <f t="shared" si="25"/>
        <v>0</v>
      </c>
      <c r="Q52" s="20">
        <f t="shared" si="26"/>
        <v>0.42642680963254687</v>
      </c>
      <c r="R52" s="20">
        <f t="shared" si="27"/>
        <v>1</v>
      </c>
      <c r="S52" s="5">
        <f t="shared" si="29"/>
        <v>171.32800806729304</v>
      </c>
      <c r="T52" s="5">
        <f t="shared" si="34"/>
        <v>154.19520726056373</v>
      </c>
      <c r="U52" s="5">
        <f>AVERAGE(S46:S50)</f>
        <v>169.69351357699034</v>
      </c>
      <c r="V52" s="5">
        <f>AVERAGE(T46:T50)</f>
        <v>152.72416221929134</v>
      </c>
      <c r="W52" s="62">
        <f t="shared" si="30"/>
        <v>0.90289256198347112</v>
      </c>
    </row>
    <row r="53" spans="2:23" x14ac:dyDescent="0.35">
      <c r="B53">
        <v>32</v>
      </c>
      <c r="C53" s="16" t="str">
        <f t="shared" si="15"/>
        <v>Mon</v>
      </c>
      <c r="D53" s="68">
        <v>44683</v>
      </c>
      <c r="E53">
        <f t="shared" si="33"/>
        <v>151</v>
      </c>
      <c r="F53" s="61">
        <f t="shared" si="17"/>
        <v>242</v>
      </c>
      <c r="G53" s="61">
        <f t="shared" si="18"/>
        <v>51</v>
      </c>
      <c r="H53" s="61">
        <f t="shared" si="19"/>
        <v>32</v>
      </c>
      <c r="I53" s="61">
        <f t="shared" si="20"/>
        <v>0</v>
      </c>
      <c r="J53" s="61">
        <f t="shared" si="21"/>
        <v>0</v>
      </c>
      <c r="K53" s="11">
        <f t="shared" si="28"/>
        <v>0.62396694214876036</v>
      </c>
      <c r="L53" s="11">
        <f t="shared" si="22"/>
        <v>0.26779703627628099</v>
      </c>
      <c r="M53" s="11">
        <f t="shared" si="31"/>
        <v>0.27685950413223143</v>
      </c>
      <c r="N53" s="11">
        <f t="shared" si="23"/>
        <v>0.15803565359904714</v>
      </c>
      <c r="O53" s="11">
        <f t="shared" si="24"/>
        <v>0</v>
      </c>
      <c r="P53" s="11">
        <f t="shared" si="25"/>
        <v>0</v>
      </c>
      <c r="Q53" s="20">
        <f t="shared" si="26"/>
        <v>0.42583268987532813</v>
      </c>
      <c r="R53" s="20">
        <f t="shared" si="27"/>
        <v>1</v>
      </c>
      <c r="S53" s="5">
        <f t="shared" si="29"/>
        <v>171.73976591095422</v>
      </c>
      <c r="T53" s="5">
        <f t="shared" si="34"/>
        <v>154.56578931985879</v>
      </c>
      <c r="U53" s="5">
        <f>U52</f>
        <v>169.69351357699034</v>
      </c>
      <c r="V53" s="5">
        <f>V52</f>
        <v>152.72416221929134</v>
      </c>
      <c r="W53" s="62">
        <f t="shared" si="30"/>
        <v>0.90082644628099184</v>
      </c>
    </row>
    <row r="54" spans="2:23" x14ac:dyDescent="0.35">
      <c r="B54">
        <v>33</v>
      </c>
      <c r="C54" s="16" t="str">
        <f t="shared" ref="C54:C85" si="35">TEXT(D54,"ddd")</f>
        <v>Tue</v>
      </c>
      <c r="D54" s="12">
        <v>44684</v>
      </c>
      <c r="E54">
        <f t="shared" si="33"/>
        <v>150</v>
      </c>
      <c r="F54" s="61">
        <f t="shared" si="17"/>
        <v>242</v>
      </c>
      <c r="G54" s="61">
        <f t="shared" si="18"/>
        <v>51</v>
      </c>
      <c r="H54" s="61">
        <f t="shared" si="19"/>
        <v>33</v>
      </c>
      <c r="I54" s="61">
        <f t="shared" si="20"/>
        <v>0</v>
      </c>
      <c r="J54" s="61">
        <f t="shared" si="21"/>
        <v>0</v>
      </c>
      <c r="K54" s="11">
        <f t="shared" si="28"/>
        <v>0.6198347107438017</v>
      </c>
      <c r="L54" s="11">
        <f t="shared" si="22"/>
        <v>0.26602354596981553</v>
      </c>
      <c r="M54" s="11">
        <f t="shared" si="31"/>
        <v>0.27892561983471076</v>
      </c>
      <c r="N54" s="11">
        <f t="shared" si="23"/>
        <v>0.15921502414829378</v>
      </c>
      <c r="O54" s="11">
        <f t="shared" si="24"/>
        <v>0</v>
      </c>
      <c r="P54" s="11">
        <f t="shared" si="25"/>
        <v>0</v>
      </c>
      <c r="Q54" s="20">
        <f t="shared" si="26"/>
        <v>0.42523857011810928</v>
      </c>
      <c r="R54" s="20">
        <f t="shared" si="27"/>
        <v>1</v>
      </c>
      <c r="S54" s="5">
        <f t="shared" ref="S54:S85" si="36">((PCc*L54)+(PCn*N54)+(PCn_2*P54))/(L54+N54+P54)</f>
        <v>172.15267432508239</v>
      </c>
      <c r="T54" s="5">
        <f t="shared" ref="T54:T85" si="37">S54*LSLT</f>
        <v>154.93740689257416</v>
      </c>
      <c r="U54" s="5">
        <f>U52</f>
        <v>169.69351357699034</v>
      </c>
      <c r="V54" s="5">
        <f>V52</f>
        <v>152.72416221929134</v>
      </c>
      <c r="W54" s="62">
        <f t="shared" si="30"/>
        <v>0.89876033057851246</v>
      </c>
    </row>
    <row r="55" spans="2:23" x14ac:dyDescent="0.35">
      <c r="B55">
        <v>34</v>
      </c>
      <c r="C55" s="16" t="str">
        <f t="shared" si="35"/>
        <v>Wed</v>
      </c>
      <c r="D55" s="12">
        <v>44685</v>
      </c>
      <c r="E55">
        <f t="shared" si="33"/>
        <v>149</v>
      </c>
      <c r="F55" s="61">
        <f t="shared" si="17"/>
        <v>242</v>
      </c>
      <c r="G55" s="61">
        <f t="shared" si="18"/>
        <v>51</v>
      </c>
      <c r="H55" s="61">
        <f t="shared" si="19"/>
        <v>34</v>
      </c>
      <c r="I55" s="61">
        <f t="shared" si="20"/>
        <v>0</v>
      </c>
      <c r="J55" s="61">
        <f t="shared" si="21"/>
        <v>0</v>
      </c>
      <c r="K55" s="11">
        <f t="shared" si="28"/>
        <v>0.61570247933884292</v>
      </c>
      <c r="L55" s="11">
        <f t="shared" si="22"/>
        <v>0.26425005566335003</v>
      </c>
      <c r="M55" s="11">
        <f t="shared" si="31"/>
        <v>0.28099173553719009</v>
      </c>
      <c r="N55" s="11">
        <f t="shared" si="23"/>
        <v>0.16039439469754038</v>
      </c>
      <c r="O55" s="11">
        <f t="shared" si="24"/>
        <v>0</v>
      </c>
      <c r="P55" s="11">
        <f t="shared" si="25"/>
        <v>0</v>
      </c>
      <c r="Q55" s="20">
        <f t="shared" si="26"/>
        <v>0.42464445036089038</v>
      </c>
      <c r="R55" s="20">
        <f t="shared" si="27"/>
        <v>1</v>
      </c>
      <c r="S55" s="5">
        <f t="shared" si="36"/>
        <v>172.56673813896467</v>
      </c>
      <c r="T55" s="5">
        <f t="shared" si="37"/>
        <v>155.3100643250682</v>
      </c>
      <c r="U55" s="5">
        <f>U52</f>
        <v>169.69351357699034</v>
      </c>
      <c r="V55" s="5">
        <f>V52</f>
        <v>152.72416221929134</v>
      </c>
      <c r="W55" s="62">
        <f t="shared" si="30"/>
        <v>0.89669421487603307</v>
      </c>
    </row>
    <row r="56" spans="2:23" x14ac:dyDescent="0.35">
      <c r="B56">
        <v>35</v>
      </c>
      <c r="C56" s="16" t="str">
        <f t="shared" si="35"/>
        <v>Thu</v>
      </c>
      <c r="D56" s="12">
        <v>44686</v>
      </c>
      <c r="E56">
        <f t="shared" si="33"/>
        <v>148</v>
      </c>
      <c r="F56" s="61">
        <f t="shared" si="17"/>
        <v>242</v>
      </c>
      <c r="G56" s="61">
        <f t="shared" si="18"/>
        <v>51</v>
      </c>
      <c r="H56" s="61">
        <f t="shared" si="19"/>
        <v>35</v>
      </c>
      <c r="I56" s="61">
        <f t="shared" si="20"/>
        <v>0</v>
      </c>
      <c r="J56" s="61">
        <f t="shared" si="21"/>
        <v>0</v>
      </c>
      <c r="K56" s="11">
        <f t="shared" si="28"/>
        <v>0.61157024793388426</v>
      </c>
      <c r="L56" s="11">
        <f t="shared" si="22"/>
        <v>0.26247656535688463</v>
      </c>
      <c r="M56" s="11">
        <f t="shared" si="31"/>
        <v>0.28305785123966942</v>
      </c>
      <c r="N56" s="11">
        <f t="shared" si="23"/>
        <v>0.16157376524678702</v>
      </c>
      <c r="O56" s="11">
        <f t="shared" si="24"/>
        <v>0</v>
      </c>
      <c r="P56" s="11">
        <f t="shared" si="25"/>
        <v>0</v>
      </c>
      <c r="Q56" s="20">
        <f t="shared" si="26"/>
        <v>0.42405033060367164</v>
      </c>
      <c r="R56" s="20">
        <f t="shared" si="27"/>
        <v>1</v>
      </c>
      <c r="S56" s="5">
        <f t="shared" si="36"/>
        <v>172.98196220895252</v>
      </c>
      <c r="T56" s="5">
        <f t="shared" si="37"/>
        <v>155.68376598805727</v>
      </c>
      <c r="U56" s="5">
        <f>U52</f>
        <v>169.69351357699034</v>
      </c>
      <c r="V56" s="5">
        <f>V52</f>
        <v>152.72416221929134</v>
      </c>
      <c r="W56" s="62">
        <f t="shared" si="30"/>
        <v>0.89462809917355368</v>
      </c>
    </row>
    <row r="57" spans="2:23" x14ac:dyDescent="0.35">
      <c r="B57">
        <v>36</v>
      </c>
      <c r="C57" s="16" t="str">
        <f t="shared" si="35"/>
        <v>Fri</v>
      </c>
      <c r="D57" s="12">
        <v>44687</v>
      </c>
      <c r="E57">
        <f t="shared" si="33"/>
        <v>147</v>
      </c>
      <c r="F57" s="61">
        <f t="shared" si="17"/>
        <v>242</v>
      </c>
      <c r="G57" s="61">
        <f t="shared" si="18"/>
        <v>51</v>
      </c>
      <c r="H57" s="61">
        <f t="shared" si="19"/>
        <v>36</v>
      </c>
      <c r="I57" s="61">
        <f t="shared" si="20"/>
        <v>0</v>
      </c>
      <c r="J57" s="61">
        <f t="shared" si="21"/>
        <v>0</v>
      </c>
      <c r="K57" s="11">
        <f t="shared" si="28"/>
        <v>0.6074380165289256</v>
      </c>
      <c r="L57" s="11">
        <f t="shared" si="22"/>
        <v>0.26070307505041918</v>
      </c>
      <c r="M57" s="11">
        <f t="shared" si="31"/>
        <v>0.28512396694214875</v>
      </c>
      <c r="N57" s="11">
        <f t="shared" si="23"/>
        <v>0.16275313579603362</v>
      </c>
      <c r="O57" s="11">
        <f t="shared" si="24"/>
        <v>0</v>
      </c>
      <c r="P57" s="11">
        <f t="shared" si="25"/>
        <v>0</v>
      </c>
      <c r="Q57" s="20">
        <f t="shared" si="26"/>
        <v>0.4234562108464528</v>
      </c>
      <c r="R57" s="20">
        <f t="shared" si="27"/>
        <v>1</v>
      </c>
      <c r="S57" s="5">
        <f t="shared" si="36"/>
        <v>173.39835141865177</v>
      </c>
      <c r="T57" s="5">
        <f t="shared" si="37"/>
        <v>156.05851627678661</v>
      </c>
      <c r="U57" s="5">
        <f>U52</f>
        <v>169.69351357699034</v>
      </c>
      <c r="V57" s="5">
        <f>V52</f>
        <v>152.72416221929134</v>
      </c>
      <c r="W57" s="62">
        <f t="shared" si="30"/>
        <v>0.89256198347107429</v>
      </c>
    </row>
    <row r="58" spans="2:23" x14ac:dyDescent="0.35">
      <c r="B58">
        <v>37</v>
      </c>
      <c r="C58" s="16" t="str">
        <f t="shared" si="35"/>
        <v>Sat</v>
      </c>
      <c r="D58" s="12">
        <v>44688</v>
      </c>
      <c r="E58">
        <f t="shared" ref="E58:E89" si="38">$AH$13-D58</f>
        <v>146</v>
      </c>
      <c r="F58" s="61">
        <f t="shared" si="17"/>
        <v>242</v>
      </c>
      <c r="G58" s="61">
        <f t="shared" si="18"/>
        <v>51</v>
      </c>
      <c r="H58" s="61">
        <f t="shared" si="19"/>
        <v>37</v>
      </c>
      <c r="I58" s="61">
        <f t="shared" si="20"/>
        <v>0</v>
      </c>
      <c r="J58" s="61">
        <f t="shared" si="21"/>
        <v>0</v>
      </c>
      <c r="K58" s="11">
        <f t="shared" si="28"/>
        <v>0.60330578512396693</v>
      </c>
      <c r="L58" s="11">
        <f t="shared" si="22"/>
        <v>0.25892958474395378</v>
      </c>
      <c r="M58" s="11">
        <f t="shared" si="31"/>
        <v>0.28719008264462809</v>
      </c>
      <c r="N58" s="11">
        <f t="shared" si="23"/>
        <v>0.16393250634528023</v>
      </c>
      <c r="O58" s="11">
        <f t="shared" si="24"/>
        <v>0</v>
      </c>
      <c r="P58" s="11">
        <f t="shared" si="25"/>
        <v>0</v>
      </c>
      <c r="Q58" s="20">
        <f t="shared" si="26"/>
        <v>0.422862091089234</v>
      </c>
      <c r="R58" s="20">
        <f t="shared" si="27"/>
        <v>1</v>
      </c>
      <c r="S58" s="5">
        <f t="shared" si="36"/>
        <v>173.81591067911407</v>
      </c>
      <c r="T58" s="5">
        <f t="shared" si="37"/>
        <v>156.43431961120265</v>
      </c>
      <c r="U58" s="5">
        <f>U52</f>
        <v>169.69351357699034</v>
      </c>
      <c r="V58" s="5">
        <f>V52</f>
        <v>152.72416221929134</v>
      </c>
      <c r="W58" s="62">
        <f t="shared" si="30"/>
        <v>0.89049586776859502</v>
      </c>
    </row>
    <row r="59" spans="2:23" x14ac:dyDescent="0.35">
      <c r="B59">
        <v>38</v>
      </c>
      <c r="C59" s="16" t="str">
        <f t="shared" si="35"/>
        <v>Sun</v>
      </c>
      <c r="D59" s="12">
        <v>44689</v>
      </c>
      <c r="E59">
        <f t="shared" si="38"/>
        <v>145</v>
      </c>
      <c r="F59" s="61">
        <f t="shared" si="17"/>
        <v>242</v>
      </c>
      <c r="G59" s="61">
        <f t="shared" si="18"/>
        <v>51</v>
      </c>
      <c r="H59" s="61">
        <f t="shared" si="19"/>
        <v>38</v>
      </c>
      <c r="I59" s="61">
        <f t="shared" si="20"/>
        <v>0</v>
      </c>
      <c r="J59" s="61">
        <f t="shared" si="21"/>
        <v>0</v>
      </c>
      <c r="K59" s="11">
        <f t="shared" si="28"/>
        <v>0.59917355371900827</v>
      </c>
      <c r="L59" s="11">
        <f t="shared" si="22"/>
        <v>0.25715609443748833</v>
      </c>
      <c r="M59" s="11">
        <f>(G59+0.5*(H59-I59)+(I59-J59))/F59</f>
        <v>0.28925619834710742</v>
      </c>
      <c r="N59" s="11">
        <f t="shared" si="23"/>
        <v>0.16511187689452686</v>
      </c>
      <c r="O59" s="11">
        <f t="shared" si="24"/>
        <v>0</v>
      </c>
      <c r="P59" s="11">
        <f t="shared" si="25"/>
        <v>0</v>
      </c>
      <c r="Q59" s="20">
        <f t="shared" si="26"/>
        <v>0.42226797133201521</v>
      </c>
      <c r="R59" s="20">
        <f t="shared" si="27"/>
        <v>0.99999999999999989</v>
      </c>
      <c r="S59" s="5">
        <f t="shared" si="36"/>
        <v>174.23464492903</v>
      </c>
      <c r="T59" s="5">
        <f t="shared" si="37"/>
        <v>156.81118043612699</v>
      </c>
      <c r="U59" s="5">
        <f>AVERAGE(S54:S57)</f>
        <v>172.77493152291282</v>
      </c>
      <c r="V59" s="5">
        <f>AVERAGE(T54:T57)</f>
        <v>155.49743837062155</v>
      </c>
      <c r="W59" s="62">
        <f t="shared" si="30"/>
        <v>0.88842975206611574</v>
      </c>
    </row>
    <row r="60" spans="2:23" x14ac:dyDescent="0.35">
      <c r="B60">
        <v>39</v>
      </c>
      <c r="C60" s="16" t="str">
        <f t="shared" si="35"/>
        <v>Mon</v>
      </c>
      <c r="D60" s="12">
        <v>44690</v>
      </c>
      <c r="E60">
        <f t="shared" si="38"/>
        <v>144</v>
      </c>
      <c r="F60" s="61">
        <f t="shared" si="17"/>
        <v>242</v>
      </c>
      <c r="G60" s="61">
        <f t="shared" si="18"/>
        <v>51</v>
      </c>
      <c r="H60" s="61">
        <f t="shared" si="19"/>
        <v>39</v>
      </c>
      <c r="I60" s="61">
        <f t="shared" si="20"/>
        <v>0</v>
      </c>
      <c r="J60" s="61">
        <f t="shared" si="21"/>
        <v>0</v>
      </c>
      <c r="K60" s="11">
        <f t="shared" si="28"/>
        <v>0.5950413223140496</v>
      </c>
      <c r="L60" s="11">
        <f t="shared" si="22"/>
        <v>0.25538260413102287</v>
      </c>
      <c r="M60" s="11">
        <f t="shared" si="31"/>
        <v>0.29132231404958675</v>
      </c>
      <c r="N60" s="11">
        <f t="shared" si="23"/>
        <v>0.16629124744377347</v>
      </c>
      <c r="O60" s="11">
        <f t="shared" si="24"/>
        <v>0</v>
      </c>
      <c r="P60" s="11">
        <f t="shared" si="25"/>
        <v>0</v>
      </c>
      <c r="Q60" s="20">
        <f t="shared" si="26"/>
        <v>0.42167385157479631</v>
      </c>
      <c r="R60" s="20">
        <f t="shared" si="27"/>
        <v>1</v>
      </c>
      <c r="S60" s="5">
        <f t="shared" si="36"/>
        <v>174.6545591349236</v>
      </c>
      <c r="T60" s="5">
        <f t="shared" si="37"/>
        <v>157.18910322143125</v>
      </c>
      <c r="U60" s="5">
        <f>U59</f>
        <v>172.77493152291282</v>
      </c>
      <c r="V60" s="5">
        <f>V59</f>
        <v>155.49743837062155</v>
      </c>
      <c r="W60" s="62">
        <f t="shared" si="30"/>
        <v>0.88636363636363635</v>
      </c>
    </row>
    <row r="61" spans="2:23" x14ac:dyDescent="0.35">
      <c r="B61">
        <v>40</v>
      </c>
      <c r="C61" s="16" t="str">
        <f t="shared" si="35"/>
        <v>Tue</v>
      </c>
      <c r="D61" s="12">
        <v>44691</v>
      </c>
      <c r="E61">
        <f t="shared" si="38"/>
        <v>143</v>
      </c>
      <c r="F61" s="61">
        <f t="shared" si="17"/>
        <v>242</v>
      </c>
      <c r="G61" s="61">
        <f t="shared" si="18"/>
        <v>51</v>
      </c>
      <c r="H61" s="61">
        <f t="shared" si="19"/>
        <v>40</v>
      </c>
      <c r="I61" s="61">
        <f t="shared" si="20"/>
        <v>0</v>
      </c>
      <c r="J61" s="61">
        <f t="shared" si="21"/>
        <v>0</v>
      </c>
      <c r="K61" s="11">
        <f t="shared" si="28"/>
        <v>0.59090909090909094</v>
      </c>
      <c r="L61" s="11">
        <f t="shared" si="22"/>
        <v>0.25360911382455747</v>
      </c>
      <c r="M61" s="11">
        <f t="shared" si="31"/>
        <v>0.29338842975206614</v>
      </c>
      <c r="N61" s="11">
        <f t="shared" si="23"/>
        <v>0.16747061799302013</v>
      </c>
      <c r="O61" s="11">
        <f t="shared" si="24"/>
        <v>0</v>
      </c>
      <c r="P61" s="11">
        <f t="shared" si="25"/>
        <v>0</v>
      </c>
      <c r="Q61" s="20">
        <f t="shared" si="26"/>
        <v>0.42107973181757763</v>
      </c>
      <c r="R61" s="20">
        <f t="shared" si="27"/>
        <v>1</v>
      </c>
      <c r="S61" s="5">
        <f t="shared" si="36"/>
        <v>175.0756582913489</v>
      </c>
      <c r="T61" s="5">
        <f t="shared" si="37"/>
        <v>157.56809246221403</v>
      </c>
      <c r="U61" s="5">
        <f>U59</f>
        <v>172.77493152291282</v>
      </c>
      <c r="V61" s="5">
        <f>V59</f>
        <v>155.49743837062155</v>
      </c>
      <c r="W61" s="62">
        <f t="shared" si="30"/>
        <v>0.88429752066115708</v>
      </c>
    </row>
    <row r="62" spans="2:23" x14ac:dyDescent="0.35">
      <c r="B62">
        <v>41</v>
      </c>
      <c r="C62" s="16" t="str">
        <f t="shared" si="35"/>
        <v>Wed</v>
      </c>
      <c r="D62" s="12">
        <v>44692</v>
      </c>
      <c r="E62">
        <f t="shared" si="38"/>
        <v>142</v>
      </c>
      <c r="F62" s="61">
        <f t="shared" si="17"/>
        <v>242</v>
      </c>
      <c r="G62" s="61">
        <f t="shared" si="18"/>
        <v>51</v>
      </c>
      <c r="H62" s="61">
        <f t="shared" si="19"/>
        <v>41</v>
      </c>
      <c r="I62" s="61">
        <f t="shared" si="20"/>
        <v>0</v>
      </c>
      <c r="J62" s="61">
        <f t="shared" si="21"/>
        <v>0</v>
      </c>
      <c r="K62" s="11">
        <f t="shared" si="28"/>
        <v>0.58677685950413228</v>
      </c>
      <c r="L62" s="11">
        <f t="shared" si="22"/>
        <v>0.25183562351809202</v>
      </c>
      <c r="M62" s="11">
        <f t="shared" si="31"/>
        <v>0.29545454545454547</v>
      </c>
      <c r="N62" s="11">
        <f t="shared" si="23"/>
        <v>0.16864998854226673</v>
      </c>
      <c r="O62" s="11">
        <f t="shared" si="24"/>
        <v>0</v>
      </c>
      <c r="P62" s="11">
        <f t="shared" si="25"/>
        <v>0</v>
      </c>
      <c r="Q62" s="20">
        <f t="shared" si="26"/>
        <v>0.42048561206035873</v>
      </c>
      <c r="R62" s="20">
        <f t="shared" si="27"/>
        <v>1</v>
      </c>
      <c r="S62" s="5">
        <f t="shared" si="36"/>
        <v>175.49794742108796</v>
      </c>
      <c r="T62" s="5">
        <f t="shared" si="37"/>
        <v>157.94815267897917</v>
      </c>
      <c r="U62" s="5">
        <f>U59</f>
        <v>172.77493152291282</v>
      </c>
      <c r="V62" s="5">
        <f>V59</f>
        <v>155.49743837062155</v>
      </c>
      <c r="W62" s="62">
        <f t="shared" si="30"/>
        <v>0.88223140495867769</v>
      </c>
    </row>
    <row r="63" spans="2:23" x14ac:dyDescent="0.35">
      <c r="B63">
        <v>42</v>
      </c>
      <c r="C63" s="16" t="str">
        <f t="shared" si="35"/>
        <v>Thu</v>
      </c>
      <c r="D63" s="12">
        <v>44693</v>
      </c>
      <c r="E63">
        <f t="shared" si="38"/>
        <v>141</v>
      </c>
      <c r="F63" s="61">
        <f t="shared" si="17"/>
        <v>242</v>
      </c>
      <c r="G63" s="61">
        <f t="shared" si="18"/>
        <v>51</v>
      </c>
      <c r="H63" s="61">
        <f t="shared" si="19"/>
        <v>42</v>
      </c>
      <c r="I63" s="61">
        <f t="shared" si="20"/>
        <v>0</v>
      </c>
      <c r="J63" s="61">
        <f t="shared" si="21"/>
        <v>0</v>
      </c>
      <c r="K63" s="11">
        <f t="shared" si="28"/>
        <v>0.5826446280991735</v>
      </c>
      <c r="L63" s="11">
        <f t="shared" si="22"/>
        <v>0.25006213321162657</v>
      </c>
      <c r="M63" s="11">
        <f t="shared" si="31"/>
        <v>0.2975206611570248</v>
      </c>
      <c r="N63" s="11">
        <f t="shared" si="23"/>
        <v>0.16982935909151337</v>
      </c>
      <c r="O63" s="11">
        <f t="shared" si="24"/>
        <v>0</v>
      </c>
      <c r="P63" s="11">
        <f t="shared" si="25"/>
        <v>0</v>
      </c>
      <c r="Q63" s="20">
        <f t="shared" si="26"/>
        <v>0.41989149230313993</v>
      </c>
      <c r="R63" s="20">
        <f t="shared" si="27"/>
        <v>1</v>
      </c>
      <c r="S63" s="5">
        <f t="shared" si="36"/>
        <v>175.92143157535043</v>
      </c>
      <c r="T63" s="5">
        <f t="shared" si="37"/>
        <v>158.32928841781538</v>
      </c>
      <c r="U63" s="5">
        <f>U59</f>
        <v>172.77493152291282</v>
      </c>
      <c r="V63" s="5">
        <f>V59</f>
        <v>155.49743837062155</v>
      </c>
      <c r="W63" s="62">
        <f t="shared" si="30"/>
        <v>0.8801652892561983</v>
      </c>
    </row>
    <row r="64" spans="2:23" x14ac:dyDescent="0.35">
      <c r="B64">
        <v>43</v>
      </c>
      <c r="C64" s="16" t="str">
        <f t="shared" si="35"/>
        <v>Fri</v>
      </c>
      <c r="D64" s="12">
        <v>44694</v>
      </c>
      <c r="E64">
        <f t="shared" si="38"/>
        <v>140</v>
      </c>
      <c r="F64" s="61">
        <f t="shared" si="17"/>
        <v>242</v>
      </c>
      <c r="G64" s="61">
        <f t="shared" si="18"/>
        <v>51</v>
      </c>
      <c r="H64" s="61">
        <f t="shared" si="19"/>
        <v>43</v>
      </c>
      <c r="I64" s="61">
        <f t="shared" si="20"/>
        <v>0</v>
      </c>
      <c r="J64" s="61">
        <f t="shared" si="21"/>
        <v>0</v>
      </c>
      <c r="K64" s="11">
        <f t="shared" si="28"/>
        <v>0.57851239669421484</v>
      </c>
      <c r="L64" s="11">
        <f t="shared" si="22"/>
        <v>0.24828864290516112</v>
      </c>
      <c r="M64" s="11">
        <f t="shared" si="31"/>
        <v>0.29958677685950413</v>
      </c>
      <c r="N64" s="11">
        <f t="shared" si="23"/>
        <v>0.17100872964075997</v>
      </c>
      <c r="O64" s="11">
        <f t="shared" si="24"/>
        <v>0</v>
      </c>
      <c r="P64" s="11">
        <f t="shared" si="25"/>
        <v>0</v>
      </c>
      <c r="Q64" s="20">
        <f t="shared" si="26"/>
        <v>0.41929737254592109</v>
      </c>
      <c r="R64" s="20">
        <f t="shared" si="27"/>
        <v>1</v>
      </c>
      <c r="S64" s="5">
        <f t="shared" si="36"/>
        <v>176.34611583397503</v>
      </c>
      <c r="T64" s="5">
        <f t="shared" si="37"/>
        <v>158.71150425057755</v>
      </c>
      <c r="U64" s="5">
        <f>U59</f>
        <v>172.77493152291282</v>
      </c>
      <c r="V64" s="5">
        <f>V59</f>
        <v>155.49743837062155</v>
      </c>
      <c r="W64" s="62">
        <f t="shared" si="30"/>
        <v>0.87809917355371891</v>
      </c>
    </row>
    <row r="65" spans="2:23" x14ac:dyDescent="0.35">
      <c r="B65">
        <v>44</v>
      </c>
      <c r="C65" s="16" t="str">
        <f t="shared" si="35"/>
        <v>Sat</v>
      </c>
      <c r="D65" s="12">
        <v>44695</v>
      </c>
      <c r="E65">
        <f t="shared" si="38"/>
        <v>139</v>
      </c>
      <c r="F65" s="61">
        <f t="shared" si="17"/>
        <v>242</v>
      </c>
      <c r="G65" s="61">
        <f t="shared" si="18"/>
        <v>51</v>
      </c>
      <c r="H65" s="61">
        <f t="shared" si="19"/>
        <v>44</v>
      </c>
      <c r="I65" s="61">
        <f t="shared" si="20"/>
        <v>0</v>
      </c>
      <c r="J65" s="61">
        <f t="shared" si="21"/>
        <v>0</v>
      </c>
      <c r="K65" s="11">
        <f t="shared" si="28"/>
        <v>0.57438016528925617</v>
      </c>
      <c r="L65" s="11">
        <f t="shared" si="22"/>
        <v>0.24651515259869569</v>
      </c>
      <c r="M65" s="11">
        <f t="shared" si="31"/>
        <v>0.30165289256198347</v>
      </c>
      <c r="N65" s="11">
        <f t="shared" si="23"/>
        <v>0.17218810019000658</v>
      </c>
      <c r="O65" s="11">
        <f t="shared" si="24"/>
        <v>0</v>
      </c>
      <c r="P65" s="11">
        <f t="shared" si="25"/>
        <v>0</v>
      </c>
      <c r="Q65" s="20">
        <f t="shared" si="26"/>
        <v>0.41870325278870224</v>
      </c>
      <c r="R65" s="20">
        <f t="shared" si="27"/>
        <v>1</v>
      </c>
      <c r="S65" s="5">
        <f t="shared" si="36"/>
        <v>176.77200530563275</v>
      </c>
      <c r="T65" s="5">
        <f t="shared" si="37"/>
        <v>159.09480477506946</v>
      </c>
      <c r="U65" s="5">
        <f>U59</f>
        <v>172.77493152291282</v>
      </c>
      <c r="V65" s="5">
        <f>V59</f>
        <v>155.49743837062155</v>
      </c>
      <c r="W65" s="62">
        <f t="shared" si="30"/>
        <v>0.87603305785123964</v>
      </c>
    </row>
    <row r="66" spans="2:23" x14ac:dyDescent="0.35">
      <c r="B66">
        <v>45</v>
      </c>
      <c r="C66" s="16" t="str">
        <f t="shared" si="35"/>
        <v>Sun</v>
      </c>
      <c r="D66" s="12">
        <v>44696</v>
      </c>
      <c r="E66">
        <f t="shared" si="38"/>
        <v>138</v>
      </c>
      <c r="F66" s="61">
        <f t="shared" si="17"/>
        <v>242</v>
      </c>
      <c r="G66" s="61">
        <f t="shared" si="18"/>
        <v>51</v>
      </c>
      <c r="H66" s="61">
        <f t="shared" si="19"/>
        <v>45</v>
      </c>
      <c r="I66" s="61">
        <f t="shared" si="20"/>
        <v>0</v>
      </c>
      <c r="J66" s="61">
        <f t="shared" si="21"/>
        <v>0</v>
      </c>
      <c r="K66" s="11">
        <f t="shared" si="28"/>
        <v>0.57024793388429751</v>
      </c>
      <c r="L66" s="11">
        <f t="shared" si="22"/>
        <v>0.24474166229223027</v>
      </c>
      <c r="M66" s="11">
        <f t="shared" si="31"/>
        <v>0.3037190082644628</v>
      </c>
      <c r="N66" s="11">
        <f t="shared" si="23"/>
        <v>0.17336747073925321</v>
      </c>
      <c r="O66" s="11">
        <f t="shared" si="24"/>
        <v>0</v>
      </c>
      <c r="P66" s="11">
        <f t="shared" si="25"/>
        <v>0</v>
      </c>
      <c r="Q66" s="20">
        <f t="shared" si="26"/>
        <v>0.41810913303148345</v>
      </c>
      <c r="R66" s="20">
        <f t="shared" si="27"/>
        <v>1</v>
      </c>
      <c r="S66" s="5">
        <f t="shared" si="36"/>
        <v>177.1991051280315</v>
      </c>
      <c r="T66" s="5">
        <f t="shared" si="37"/>
        <v>159.47919461522835</v>
      </c>
      <c r="U66" s="5">
        <f>AVERAGE(S60:S64)</f>
        <v>175.49914245133718</v>
      </c>
      <c r="V66" s="5">
        <f>AVERAGE(T60:T64)</f>
        <v>157.94922820620346</v>
      </c>
      <c r="W66" s="62">
        <f t="shared" si="30"/>
        <v>0.87396694214876036</v>
      </c>
    </row>
    <row r="67" spans="2:23" x14ac:dyDescent="0.35">
      <c r="B67">
        <v>46</v>
      </c>
      <c r="C67" s="16" t="str">
        <f t="shared" si="35"/>
        <v>Mon</v>
      </c>
      <c r="D67" s="12">
        <v>44697</v>
      </c>
      <c r="E67">
        <f t="shared" si="38"/>
        <v>137</v>
      </c>
      <c r="F67" s="61">
        <f t="shared" si="17"/>
        <v>242</v>
      </c>
      <c r="G67" s="61">
        <f t="shared" si="18"/>
        <v>51</v>
      </c>
      <c r="H67" s="61">
        <f t="shared" si="19"/>
        <v>46</v>
      </c>
      <c r="I67" s="61">
        <f t="shared" si="20"/>
        <v>0</v>
      </c>
      <c r="J67" s="61">
        <f t="shared" si="21"/>
        <v>0</v>
      </c>
      <c r="K67" s="11">
        <f t="shared" si="28"/>
        <v>0.56611570247933884</v>
      </c>
      <c r="L67" s="11">
        <f t="shared" si="22"/>
        <v>0.24296817198576484</v>
      </c>
      <c r="M67" s="11">
        <f t="shared" si="31"/>
        <v>0.30578512396694213</v>
      </c>
      <c r="N67" s="11">
        <f t="shared" si="23"/>
        <v>0.17454684128849982</v>
      </c>
      <c r="O67" s="11">
        <f t="shared" si="24"/>
        <v>0</v>
      </c>
      <c r="P67" s="11">
        <f t="shared" si="25"/>
        <v>0</v>
      </c>
      <c r="Q67" s="20">
        <f t="shared" si="26"/>
        <v>0.41751501327426466</v>
      </c>
      <c r="R67" s="20">
        <f t="shared" si="27"/>
        <v>1</v>
      </c>
      <c r="S67" s="5">
        <f t="shared" si="36"/>
        <v>177.62742046812292</v>
      </c>
      <c r="T67" s="5">
        <f t="shared" si="37"/>
        <v>159.86467842131063</v>
      </c>
      <c r="U67" s="5">
        <f>U66</f>
        <v>175.49914245133718</v>
      </c>
      <c r="V67" s="5">
        <f>V66</f>
        <v>157.94922820620346</v>
      </c>
      <c r="W67" s="62">
        <f t="shared" si="30"/>
        <v>0.87190082644628097</v>
      </c>
    </row>
    <row r="68" spans="2:23" x14ac:dyDescent="0.35">
      <c r="B68">
        <v>47</v>
      </c>
      <c r="C68" s="16" t="str">
        <f t="shared" si="35"/>
        <v>Tue</v>
      </c>
      <c r="D68" s="12">
        <v>44698</v>
      </c>
      <c r="E68">
        <f t="shared" si="38"/>
        <v>136</v>
      </c>
      <c r="F68" s="61">
        <f t="shared" si="17"/>
        <v>242</v>
      </c>
      <c r="G68" s="61">
        <f t="shared" si="18"/>
        <v>51</v>
      </c>
      <c r="H68" s="61">
        <f t="shared" si="19"/>
        <v>47</v>
      </c>
      <c r="I68" s="61">
        <f t="shared" si="20"/>
        <v>0</v>
      </c>
      <c r="J68" s="61">
        <f t="shared" si="21"/>
        <v>0</v>
      </c>
      <c r="K68" s="11">
        <f t="shared" si="28"/>
        <v>0.56198347107438018</v>
      </c>
      <c r="L68" s="11">
        <f t="shared" si="22"/>
        <v>0.24119468167929942</v>
      </c>
      <c r="M68" s="11">
        <f t="shared" si="31"/>
        <v>0.30785123966942146</v>
      </c>
      <c r="N68" s="11">
        <f t="shared" si="23"/>
        <v>0.17572621183774645</v>
      </c>
      <c r="O68" s="11">
        <f t="shared" si="24"/>
        <v>0</v>
      </c>
      <c r="P68" s="11">
        <f t="shared" si="25"/>
        <v>0</v>
      </c>
      <c r="Q68" s="20">
        <f t="shared" si="26"/>
        <v>0.41692089351704587</v>
      </c>
      <c r="R68" s="20">
        <f t="shared" si="27"/>
        <v>1</v>
      </c>
      <c r="S68" s="5">
        <f t="shared" si="36"/>
        <v>178.05695652231054</v>
      </c>
      <c r="T68" s="5">
        <f t="shared" si="37"/>
        <v>160.25126087007951</v>
      </c>
      <c r="U68" s="5">
        <f>U66</f>
        <v>175.49914245133718</v>
      </c>
      <c r="V68" s="5">
        <f>V66</f>
        <v>157.94922820620346</v>
      </c>
      <c r="W68" s="62">
        <f t="shared" si="30"/>
        <v>0.86983471074380159</v>
      </c>
    </row>
    <row r="69" spans="2:23" x14ac:dyDescent="0.35">
      <c r="B69">
        <v>48</v>
      </c>
      <c r="C69" s="16" t="str">
        <f t="shared" si="35"/>
        <v>Wed</v>
      </c>
      <c r="D69" s="12">
        <v>44699</v>
      </c>
      <c r="E69">
        <f t="shared" si="38"/>
        <v>135</v>
      </c>
      <c r="F69" s="61">
        <f t="shared" si="17"/>
        <v>242</v>
      </c>
      <c r="G69" s="61">
        <f t="shared" si="18"/>
        <v>51</v>
      </c>
      <c r="H69" s="61">
        <f t="shared" si="19"/>
        <v>48</v>
      </c>
      <c r="I69" s="61">
        <f t="shared" si="20"/>
        <v>0</v>
      </c>
      <c r="J69" s="61">
        <f t="shared" si="21"/>
        <v>0</v>
      </c>
      <c r="K69" s="11">
        <f t="shared" si="28"/>
        <v>0.55785123966942152</v>
      </c>
      <c r="L69" s="11">
        <f t="shared" si="22"/>
        <v>0.23942119137283396</v>
      </c>
      <c r="M69" s="11">
        <f t="shared" si="31"/>
        <v>0.30991735537190085</v>
      </c>
      <c r="N69" s="11">
        <f t="shared" si="23"/>
        <v>0.17690558238699308</v>
      </c>
      <c r="O69" s="11">
        <f t="shared" si="24"/>
        <v>0</v>
      </c>
      <c r="P69" s="11">
        <f t="shared" si="25"/>
        <v>0</v>
      </c>
      <c r="Q69" s="20">
        <f t="shared" si="26"/>
        <v>0.41632677375982707</v>
      </c>
      <c r="R69" s="20">
        <f t="shared" si="27"/>
        <v>0.99999999999999989</v>
      </c>
      <c r="S69" s="5">
        <f t="shared" si="36"/>
        <v>178.48771851666021</v>
      </c>
      <c r="T69" s="5">
        <f t="shared" si="37"/>
        <v>160.63894666499419</v>
      </c>
      <c r="U69" s="5">
        <f>U66</f>
        <v>175.49914245133718</v>
      </c>
      <c r="V69" s="5">
        <f>V66</f>
        <v>157.94922820620346</v>
      </c>
      <c r="W69" s="62">
        <f t="shared" si="30"/>
        <v>0.86776859504132231</v>
      </c>
    </row>
    <row r="70" spans="2:23" x14ac:dyDescent="0.35">
      <c r="B70">
        <v>49</v>
      </c>
      <c r="C70" s="16" t="str">
        <f t="shared" si="35"/>
        <v>Thu</v>
      </c>
      <c r="D70" s="12">
        <v>44700</v>
      </c>
      <c r="E70">
        <f t="shared" si="38"/>
        <v>134</v>
      </c>
      <c r="F70" s="61">
        <f t="shared" si="17"/>
        <v>242</v>
      </c>
      <c r="G70" s="61">
        <f t="shared" si="18"/>
        <v>51</v>
      </c>
      <c r="H70" s="61">
        <f t="shared" si="19"/>
        <v>49</v>
      </c>
      <c r="I70" s="61">
        <f t="shared" si="20"/>
        <v>0</v>
      </c>
      <c r="J70" s="61">
        <f t="shared" si="21"/>
        <v>0</v>
      </c>
      <c r="K70" s="11">
        <f t="shared" si="28"/>
        <v>0.55371900826446285</v>
      </c>
      <c r="L70" s="11">
        <f t="shared" si="22"/>
        <v>0.23764770106636854</v>
      </c>
      <c r="M70" s="11">
        <f>(G70+0.5*(H70-I70)+(I70-J70))/F70</f>
        <v>0.31198347107438018</v>
      </c>
      <c r="N70" s="11">
        <f t="shared" si="23"/>
        <v>0.17808495293623969</v>
      </c>
      <c r="O70" s="11">
        <f t="shared" si="24"/>
        <v>0</v>
      </c>
      <c r="P70" s="11">
        <f t="shared" si="25"/>
        <v>0</v>
      </c>
      <c r="Q70" s="20">
        <f t="shared" si="26"/>
        <v>0.41573265400260823</v>
      </c>
      <c r="R70" s="20">
        <f t="shared" si="27"/>
        <v>1</v>
      </c>
      <c r="S70" s="5">
        <f t="shared" si="36"/>
        <v>178.91971170711165</v>
      </c>
      <c r="T70" s="5">
        <f t="shared" si="37"/>
        <v>161.02774053640047</v>
      </c>
      <c r="U70" s="5">
        <f>U66</f>
        <v>175.49914245133718</v>
      </c>
      <c r="V70" s="5">
        <f>V66</f>
        <v>157.94922820620346</v>
      </c>
      <c r="W70" s="62">
        <f t="shared" si="30"/>
        <v>0.86570247933884303</v>
      </c>
    </row>
    <row r="71" spans="2:23" x14ac:dyDescent="0.35">
      <c r="B71">
        <v>50</v>
      </c>
      <c r="C71" s="16" t="str">
        <f t="shared" si="35"/>
        <v>Fri</v>
      </c>
      <c r="D71" s="12">
        <v>44701</v>
      </c>
      <c r="E71">
        <f t="shared" si="38"/>
        <v>133</v>
      </c>
      <c r="F71" s="61">
        <f t="shared" si="17"/>
        <v>242</v>
      </c>
      <c r="G71" s="61">
        <f t="shared" si="18"/>
        <v>51</v>
      </c>
      <c r="H71" s="61">
        <f t="shared" si="19"/>
        <v>50</v>
      </c>
      <c r="I71" s="61">
        <f t="shared" si="20"/>
        <v>1</v>
      </c>
      <c r="J71" s="61">
        <f t="shared" si="21"/>
        <v>0</v>
      </c>
      <c r="K71" s="11">
        <f t="shared" si="28"/>
        <v>0.54958677685950408</v>
      </c>
      <c r="L71" s="11">
        <f t="shared" si="22"/>
        <v>0.23587421075990306</v>
      </c>
      <c r="M71" s="11">
        <f>(G71+0.5*(H71-I71)+(I71-J71))/F71</f>
        <v>0.31611570247933884</v>
      </c>
      <c r="N71" s="11">
        <f t="shared" si="23"/>
        <v>0.18044369403473293</v>
      </c>
      <c r="O71" s="11">
        <f t="shared" si="24"/>
        <v>0</v>
      </c>
      <c r="P71" s="11">
        <f t="shared" si="25"/>
        <v>0</v>
      </c>
      <c r="Q71" s="20">
        <f t="shared" si="26"/>
        <v>0.41631790479463598</v>
      </c>
      <c r="R71" s="20">
        <f t="shared" si="27"/>
        <v>1</v>
      </c>
      <c r="S71" s="5">
        <f t="shared" si="36"/>
        <v>179.55483101523373</v>
      </c>
      <c r="T71" s="5">
        <f t="shared" si="37"/>
        <v>161.59934791371037</v>
      </c>
      <c r="U71" s="5">
        <f>U66</f>
        <v>175.49914245133718</v>
      </c>
      <c r="V71" s="5">
        <f>V66</f>
        <v>157.94922820620346</v>
      </c>
      <c r="W71" s="62">
        <f t="shared" si="30"/>
        <v>0.86570247933884292</v>
      </c>
    </row>
    <row r="72" spans="2:23" x14ac:dyDescent="0.35">
      <c r="B72">
        <v>51</v>
      </c>
      <c r="C72" s="16" t="str">
        <f t="shared" si="35"/>
        <v>Sat</v>
      </c>
      <c r="D72" s="12">
        <v>44702</v>
      </c>
      <c r="E72">
        <f t="shared" si="38"/>
        <v>132</v>
      </c>
      <c r="F72" s="61">
        <f t="shared" si="17"/>
        <v>242</v>
      </c>
      <c r="G72" s="61">
        <f t="shared" si="18"/>
        <v>51</v>
      </c>
      <c r="H72" s="61">
        <f t="shared" si="19"/>
        <v>51</v>
      </c>
      <c r="I72" s="61">
        <f t="shared" si="20"/>
        <v>2</v>
      </c>
      <c r="J72" s="61">
        <f t="shared" si="21"/>
        <v>0</v>
      </c>
      <c r="K72" s="11">
        <f t="shared" si="28"/>
        <v>0.54545454545454541</v>
      </c>
      <c r="L72" s="11">
        <f t="shared" si="22"/>
        <v>0.23410072045343763</v>
      </c>
      <c r="M72" s="11">
        <f>(G72+0.5*(H72-I72)+(I72-J72))/F72</f>
        <v>0.32024793388429751</v>
      </c>
      <c r="N72" s="11">
        <f t="shared" si="23"/>
        <v>0.18280243513322617</v>
      </c>
      <c r="O72" s="11">
        <f t="shared" si="24"/>
        <v>0</v>
      </c>
      <c r="P72" s="11">
        <f t="shared" si="25"/>
        <v>0</v>
      </c>
      <c r="Q72" s="20">
        <f t="shared" si="26"/>
        <v>0.4169031555866638</v>
      </c>
      <c r="R72" s="20">
        <f t="shared" si="27"/>
        <v>1</v>
      </c>
      <c r="S72" s="5">
        <f t="shared" si="36"/>
        <v>180.1881671558593</v>
      </c>
      <c r="T72" s="5">
        <f t="shared" si="37"/>
        <v>162.16935044027338</v>
      </c>
      <c r="U72" s="5">
        <f>U66</f>
        <v>175.49914245133718</v>
      </c>
      <c r="V72" s="5">
        <f>V66</f>
        <v>157.94922820620346</v>
      </c>
      <c r="W72" s="62">
        <f t="shared" si="30"/>
        <v>0.86570247933884292</v>
      </c>
    </row>
    <row r="73" spans="2:23" x14ac:dyDescent="0.35">
      <c r="B73">
        <v>52</v>
      </c>
      <c r="C73" s="16" t="str">
        <f t="shared" si="35"/>
        <v>Sun</v>
      </c>
      <c r="D73" s="12">
        <v>44703</v>
      </c>
      <c r="E73">
        <f t="shared" si="38"/>
        <v>131</v>
      </c>
      <c r="F73" s="61">
        <f t="shared" si="17"/>
        <v>242</v>
      </c>
      <c r="G73" s="61">
        <f t="shared" si="18"/>
        <v>51</v>
      </c>
      <c r="H73" s="61">
        <f t="shared" si="19"/>
        <v>52</v>
      </c>
      <c r="I73" s="61">
        <f t="shared" si="20"/>
        <v>3</v>
      </c>
      <c r="J73" s="61">
        <f t="shared" si="21"/>
        <v>0</v>
      </c>
      <c r="K73" s="11">
        <f t="shared" si="28"/>
        <v>0.54132231404958675</v>
      </c>
      <c r="L73" s="11">
        <f t="shared" si="22"/>
        <v>0.23232723014697221</v>
      </c>
      <c r="M73" s="11">
        <f>(G73+0.5*(H73-I73)+(I73-J73))/F73</f>
        <v>0.32438016528925617</v>
      </c>
      <c r="N73" s="11">
        <f t="shared" si="23"/>
        <v>0.1851611762317194</v>
      </c>
      <c r="O73" s="11">
        <f t="shared" si="24"/>
        <v>0</v>
      </c>
      <c r="P73" s="11">
        <f t="shared" si="25"/>
        <v>0</v>
      </c>
      <c r="Q73" s="20">
        <f t="shared" si="26"/>
        <v>0.41748840637869161</v>
      </c>
      <c r="R73" s="20">
        <f t="shared" si="27"/>
        <v>1</v>
      </c>
      <c r="S73" s="5">
        <f t="shared" si="36"/>
        <v>180.81972762812018</v>
      </c>
      <c r="T73" s="5">
        <f t="shared" si="37"/>
        <v>162.73775486530818</v>
      </c>
      <c r="U73" s="5">
        <f>AVERAGE(S67:S71)</f>
        <v>178.5293276458878</v>
      </c>
      <c r="V73" s="5">
        <f>AVERAGE(T67:T71)</f>
        <v>160.67639488129905</v>
      </c>
      <c r="W73" s="62">
        <f t="shared" si="30"/>
        <v>0.86570247933884292</v>
      </c>
    </row>
    <row r="74" spans="2:23" x14ac:dyDescent="0.35">
      <c r="B74">
        <v>53</v>
      </c>
      <c r="C74" s="16" t="str">
        <f t="shared" si="35"/>
        <v>Mon</v>
      </c>
      <c r="D74" s="12">
        <v>44704</v>
      </c>
      <c r="E74">
        <f t="shared" si="38"/>
        <v>130</v>
      </c>
      <c r="F74" s="61">
        <f t="shared" si="17"/>
        <v>242</v>
      </c>
      <c r="G74" s="61">
        <f t="shared" si="18"/>
        <v>51</v>
      </c>
      <c r="H74" s="61">
        <f t="shared" si="19"/>
        <v>53</v>
      </c>
      <c r="I74" s="61">
        <f t="shared" si="20"/>
        <v>4</v>
      </c>
      <c r="J74" s="61">
        <f t="shared" si="21"/>
        <v>0</v>
      </c>
      <c r="K74" s="11">
        <f t="shared" si="28"/>
        <v>0.53719008264462809</v>
      </c>
      <c r="L74" s="11">
        <f t="shared" si="22"/>
        <v>0.23055373984050678</v>
      </c>
      <c r="M74" s="11">
        <f>(G74+0.5*(H74-I74)+(I74-J74))/F74</f>
        <v>0.32851239669421489</v>
      </c>
      <c r="N74" s="11">
        <f t="shared" si="23"/>
        <v>0.18751991733021267</v>
      </c>
      <c r="O74" s="11">
        <f t="shared" si="24"/>
        <v>0</v>
      </c>
      <c r="P74" s="11">
        <f t="shared" si="25"/>
        <v>0</v>
      </c>
      <c r="Q74" s="20">
        <f t="shared" si="26"/>
        <v>0.41807365717071943</v>
      </c>
      <c r="R74" s="20">
        <f t="shared" si="27"/>
        <v>1</v>
      </c>
      <c r="S74" s="5">
        <f t="shared" si="36"/>
        <v>181.44951988915673</v>
      </c>
      <c r="T74" s="5">
        <f t="shared" si="37"/>
        <v>163.30456790024107</v>
      </c>
      <c r="U74" s="5">
        <f>U73</f>
        <v>178.5293276458878</v>
      </c>
      <c r="V74" s="5">
        <f>V73</f>
        <v>160.67639488129905</v>
      </c>
      <c r="W74" s="62">
        <f t="shared" si="30"/>
        <v>0.86570247933884303</v>
      </c>
    </row>
    <row r="75" spans="2:23" x14ac:dyDescent="0.35">
      <c r="B75">
        <v>54</v>
      </c>
      <c r="C75" s="16" t="str">
        <f t="shared" si="35"/>
        <v>Tue</v>
      </c>
      <c r="D75" s="12">
        <v>44705</v>
      </c>
      <c r="E75">
        <f t="shared" si="38"/>
        <v>129</v>
      </c>
      <c r="F75" s="61">
        <f t="shared" si="17"/>
        <v>242</v>
      </c>
      <c r="G75" s="61">
        <f t="shared" si="18"/>
        <v>51</v>
      </c>
      <c r="H75" s="61">
        <f t="shared" si="19"/>
        <v>54</v>
      </c>
      <c r="I75" s="61">
        <f t="shared" si="20"/>
        <v>5</v>
      </c>
      <c r="J75" s="61">
        <f t="shared" si="21"/>
        <v>0</v>
      </c>
      <c r="K75" s="11">
        <f t="shared" si="28"/>
        <v>0.53305785123966942</v>
      </c>
      <c r="L75" s="11">
        <f t="shared" si="22"/>
        <v>0.22878024953404133</v>
      </c>
      <c r="M75" s="11">
        <f t="shared" si="31"/>
        <v>0.33264462809917356</v>
      </c>
      <c r="N75" s="11">
        <f t="shared" si="23"/>
        <v>0.18987865842870591</v>
      </c>
      <c r="O75" s="11">
        <f t="shared" si="24"/>
        <v>0</v>
      </c>
      <c r="P75" s="11">
        <f t="shared" si="25"/>
        <v>0</v>
      </c>
      <c r="Q75" s="20">
        <f t="shared" si="26"/>
        <v>0.41865890796274724</v>
      </c>
      <c r="R75" s="20">
        <f t="shared" si="27"/>
        <v>1</v>
      </c>
      <c r="S75" s="5">
        <f t="shared" si="36"/>
        <v>182.07755135441141</v>
      </c>
      <c r="T75" s="5">
        <f t="shared" si="37"/>
        <v>163.86979621897027</v>
      </c>
      <c r="U75" s="5">
        <f>U73</f>
        <v>178.5293276458878</v>
      </c>
      <c r="V75" s="5">
        <f>V73</f>
        <v>160.67639488129905</v>
      </c>
      <c r="W75" s="62">
        <f t="shared" si="30"/>
        <v>0.86570247933884303</v>
      </c>
    </row>
    <row r="76" spans="2:23" x14ac:dyDescent="0.35">
      <c r="B76">
        <v>55</v>
      </c>
      <c r="C76" s="16" t="str">
        <f t="shared" si="35"/>
        <v>Wed</v>
      </c>
      <c r="D76" s="12">
        <v>44706</v>
      </c>
      <c r="E76">
        <f t="shared" si="38"/>
        <v>128</v>
      </c>
      <c r="F76" s="61">
        <f t="shared" si="17"/>
        <v>242</v>
      </c>
      <c r="G76" s="61">
        <f t="shared" si="18"/>
        <v>51</v>
      </c>
      <c r="H76" s="61">
        <f t="shared" si="19"/>
        <v>55</v>
      </c>
      <c r="I76" s="61">
        <f t="shared" si="20"/>
        <v>6</v>
      </c>
      <c r="J76" s="61">
        <f t="shared" si="21"/>
        <v>0</v>
      </c>
      <c r="K76" s="11">
        <f t="shared" si="28"/>
        <v>0.52892561983471076</v>
      </c>
      <c r="L76" s="11">
        <f t="shared" si="22"/>
        <v>0.2270067592275759</v>
      </c>
      <c r="M76" s="11">
        <f t="shared" si="31"/>
        <v>0.33677685950413222</v>
      </c>
      <c r="N76" s="11">
        <f t="shared" si="23"/>
        <v>0.19223739952719912</v>
      </c>
      <c r="O76" s="11">
        <f t="shared" si="24"/>
        <v>0</v>
      </c>
      <c r="P76" s="11">
        <f t="shared" si="25"/>
        <v>0</v>
      </c>
      <c r="Q76" s="20">
        <f t="shared" si="26"/>
        <v>0.41924415875477505</v>
      </c>
      <c r="R76" s="20">
        <f t="shared" si="27"/>
        <v>1</v>
      </c>
      <c r="S76" s="5">
        <f t="shared" si="36"/>
        <v>182.70382939791992</v>
      </c>
      <c r="T76" s="5">
        <f t="shared" si="37"/>
        <v>164.43344645812792</v>
      </c>
      <c r="U76" s="5">
        <f>U73</f>
        <v>178.5293276458878</v>
      </c>
      <c r="V76" s="5">
        <f>V73</f>
        <v>160.67639488129905</v>
      </c>
      <c r="W76" s="62">
        <f t="shared" si="30"/>
        <v>0.86570247933884303</v>
      </c>
    </row>
    <row r="77" spans="2:23" x14ac:dyDescent="0.35">
      <c r="B77">
        <v>56</v>
      </c>
      <c r="C77" s="16" t="str">
        <f t="shared" si="35"/>
        <v>Thu</v>
      </c>
      <c r="D77" s="12">
        <v>44707</v>
      </c>
      <c r="E77">
        <f t="shared" si="38"/>
        <v>127</v>
      </c>
      <c r="F77" s="61">
        <f t="shared" si="17"/>
        <v>242</v>
      </c>
      <c r="G77" s="61">
        <f t="shared" si="18"/>
        <v>51</v>
      </c>
      <c r="H77" s="61">
        <f t="shared" si="19"/>
        <v>56</v>
      </c>
      <c r="I77" s="61">
        <f t="shared" si="20"/>
        <v>7</v>
      </c>
      <c r="J77" s="61">
        <f t="shared" si="21"/>
        <v>0</v>
      </c>
      <c r="K77" s="11">
        <f t="shared" si="28"/>
        <v>0.52479338842975209</v>
      </c>
      <c r="L77" s="11">
        <f t="shared" si="22"/>
        <v>0.22523326892111048</v>
      </c>
      <c r="M77" s="11">
        <f t="shared" si="31"/>
        <v>0.34090909090909088</v>
      </c>
      <c r="N77" s="11">
        <f t="shared" si="23"/>
        <v>0.19459614062569236</v>
      </c>
      <c r="O77" s="11">
        <f t="shared" si="24"/>
        <v>0</v>
      </c>
      <c r="P77" s="11">
        <f t="shared" si="25"/>
        <v>0</v>
      </c>
      <c r="Q77" s="20">
        <f t="shared" si="26"/>
        <v>0.41982940954680281</v>
      </c>
      <c r="R77" s="20">
        <f t="shared" si="27"/>
        <v>1</v>
      </c>
      <c r="S77" s="5">
        <f t="shared" si="36"/>
        <v>183.3283613525997</v>
      </c>
      <c r="T77" s="5">
        <f t="shared" si="37"/>
        <v>164.99552521733975</v>
      </c>
      <c r="U77" s="5">
        <f>U73</f>
        <v>178.5293276458878</v>
      </c>
      <c r="V77" s="5">
        <f>V73</f>
        <v>160.67639488129905</v>
      </c>
      <c r="W77" s="62">
        <f t="shared" si="30"/>
        <v>0.86570247933884303</v>
      </c>
    </row>
    <row r="78" spans="2:23" x14ac:dyDescent="0.35">
      <c r="B78">
        <v>57</v>
      </c>
      <c r="C78" s="16" t="str">
        <f t="shared" si="35"/>
        <v>Fri</v>
      </c>
      <c r="D78" s="12">
        <v>44708</v>
      </c>
      <c r="E78">
        <f t="shared" si="38"/>
        <v>126</v>
      </c>
      <c r="F78" s="61">
        <f t="shared" si="17"/>
        <v>242</v>
      </c>
      <c r="G78" s="61">
        <f t="shared" si="18"/>
        <v>51</v>
      </c>
      <c r="H78" s="61">
        <f t="shared" si="19"/>
        <v>57</v>
      </c>
      <c r="I78" s="61">
        <f t="shared" si="20"/>
        <v>8</v>
      </c>
      <c r="J78" s="61">
        <f t="shared" si="21"/>
        <v>0</v>
      </c>
      <c r="K78" s="11">
        <f t="shared" si="28"/>
        <v>0.52066115702479343</v>
      </c>
      <c r="L78" s="11">
        <f t="shared" si="22"/>
        <v>0.22345977861464505</v>
      </c>
      <c r="M78" s="11">
        <f t="shared" si="31"/>
        <v>0.3450413223140496</v>
      </c>
      <c r="N78" s="11">
        <f t="shared" si="23"/>
        <v>0.19695488172418563</v>
      </c>
      <c r="O78" s="11">
        <f t="shared" si="24"/>
        <v>0</v>
      </c>
      <c r="P78" s="11">
        <f t="shared" si="25"/>
        <v>0</v>
      </c>
      <c r="Q78" s="20">
        <f t="shared" si="26"/>
        <v>0.42041466033883068</v>
      </c>
      <c r="R78" s="20">
        <f t="shared" si="27"/>
        <v>1</v>
      </c>
      <c r="S78" s="5">
        <f t="shared" si="36"/>
        <v>183.95115451053616</v>
      </c>
      <c r="T78" s="5">
        <f t="shared" si="37"/>
        <v>165.55603905948254</v>
      </c>
      <c r="U78" s="5">
        <f>U73</f>
        <v>178.5293276458878</v>
      </c>
      <c r="V78" s="5">
        <f>V73</f>
        <v>160.67639488129905</v>
      </c>
      <c r="W78" s="62">
        <f t="shared" si="30"/>
        <v>0.86570247933884303</v>
      </c>
    </row>
    <row r="79" spans="2:23" x14ac:dyDescent="0.35">
      <c r="B79">
        <v>58</v>
      </c>
      <c r="C79" s="16" t="str">
        <f t="shared" si="35"/>
        <v>Sat</v>
      </c>
      <c r="D79" s="12">
        <v>44709</v>
      </c>
      <c r="E79">
        <f t="shared" si="38"/>
        <v>125</v>
      </c>
      <c r="F79" s="61">
        <f t="shared" si="17"/>
        <v>242</v>
      </c>
      <c r="G79" s="61">
        <f t="shared" si="18"/>
        <v>51</v>
      </c>
      <c r="H79" s="61">
        <f t="shared" si="19"/>
        <v>58</v>
      </c>
      <c r="I79" s="61">
        <f t="shared" si="20"/>
        <v>9</v>
      </c>
      <c r="J79" s="61">
        <f t="shared" si="21"/>
        <v>0</v>
      </c>
      <c r="K79" s="11">
        <f t="shared" si="28"/>
        <v>0.51652892561983466</v>
      </c>
      <c r="L79" s="11">
        <f t="shared" si="22"/>
        <v>0.22168628830817957</v>
      </c>
      <c r="M79" s="11">
        <f t="shared" si="31"/>
        <v>0.34917355371900827</v>
      </c>
      <c r="N79" s="11">
        <f t="shared" si="23"/>
        <v>0.19931362282267887</v>
      </c>
      <c r="O79" s="11">
        <f t="shared" si="24"/>
        <v>0</v>
      </c>
      <c r="P79" s="11">
        <f t="shared" si="25"/>
        <v>0</v>
      </c>
      <c r="Q79" s="20">
        <f t="shared" si="26"/>
        <v>0.42099991113085844</v>
      </c>
      <c r="R79" s="20">
        <f t="shared" si="27"/>
        <v>1</v>
      </c>
      <c r="S79" s="5">
        <f t="shared" si="36"/>
        <v>184.57221612326646</v>
      </c>
      <c r="T79" s="5">
        <f t="shared" si="37"/>
        <v>166.11499451093982</v>
      </c>
      <c r="U79" s="5">
        <f>U73</f>
        <v>178.5293276458878</v>
      </c>
      <c r="V79" s="5">
        <f>V73</f>
        <v>160.67639488129905</v>
      </c>
      <c r="W79" s="62">
        <f t="shared" si="30"/>
        <v>0.86570247933884292</v>
      </c>
    </row>
    <row r="80" spans="2:23" x14ac:dyDescent="0.35">
      <c r="B80">
        <v>59</v>
      </c>
      <c r="C80" s="16" t="str">
        <f t="shared" si="35"/>
        <v>Sun</v>
      </c>
      <c r="D80" s="12">
        <v>44710</v>
      </c>
      <c r="E80">
        <f t="shared" si="38"/>
        <v>124</v>
      </c>
      <c r="F80" s="61">
        <f t="shared" si="17"/>
        <v>242</v>
      </c>
      <c r="G80" s="61">
        <f t="shared" si="18"/>
        <v>51</v>
      </c>
      <c r="H80" s="61">
        <f t="shared" si="19"/>
        <v>59</v>
      </c>
      <c r="I80" s="61">
        <f t="shared" si="20"/>
        <v>10</v>
      </c>
      <c r="J80" s="61">
        <f t="shared" si="21"/>
        <v>0</v>
      </c>
      <c r="K80" s="11">
        <f t="shared" si="28"/>
        <v>0.51239669421487599</v>
      </c>
      <c r="L80" s="11">
        <f t="shared" si="22"/>
        <v>0.21991279800171415</v>
      </c>
      <c r="M80" s="11">
        <f t="shared" si="31"/>
        <v>0.35330578512396693</v>
      </c>
      <c r="N80" s="11">
        <f t="shared" si="23"/>
        <v>0.2016723639211721</v>
      </c>
      <c r="O80" s="11">
        <f t="shared" si="24"/>
        <v>0</v>
      </c>
      <c r="P80" s="11">
        <f t="shared" si="25"/>
        <v>0</v>
      </c>
      <c r="Q80" s="20">
        <f t="shared" si="26"/>
        <v>0.42158516192288625</v>
      </c>
      <c r="R80" s="20">
        <f t="shared" si="27"/>
        <v>1</v>
      </c>
      <c r="S80" s="5">
        <f t="shared" si="36"/>
        <v>185.19155340206106</v>
      </c>
      <c r="T80" s="5">
        <f t="shared" si="37"/>
        <v>166.67239806185495</v>
      </c>
      <c r="U80" s="5">
        <f>AVERAGE(S74:S78)</f>
        <v>182.70208330092478</v>
      </c>
      <c r="V80" s="5">
        <f>AVERAGE(T74:T78)</f>
        <v>164.43187497083233</v>
      </c>
      <c r="W80" s="62">
        <f t="shared" si="30"/>
        <v>0.86570247933884292</v>
      </c>
    </row>
    <row r="81" spans="2:23" x14ac:dyDescent="0.35">
      <c r="B81">
        <v>60</v>
      </c>
      <c r="C81" s="16" t="str">
        <f t="shared" si="35"/>
        <v>Mon</v>
      </c>
      <c r="D81" s="12">
        <v>44711</v>
      </c>
      <c r="E81">
        <f t="shared" si="38"/>
        <v>123</v>
      </c>
      <c r="F81" s="61">
        <f t="shared" si="17"/>
        <v>242</v>
      </c>
      <c r="G81" s="61">
        <f t="shared" si="18"/>
        <v>51</v>
      </c>
      <c r="H81" s="61">
        <f t="shared" si="19"/>
        <v>60</v>
      </c>
      <c r="I81" s="61">
        <f t="shared" si="20"/>
        <v>11</v>
      </c>
      <c r="J81" s="61">
        <f t="shared" si="21"/>
        <v>0</v>
      </c>
      <c r="K81" s="11">
        <f t="shared" si="28"/>
        <v>0.50826446280991733</v>
      </c>
      <c r="L81" s="11">
        <f t="shared" si="22"/>
        <v>0.2181393076952487</v>
      </c>
      <c r="M81" s="11">
        <f t="shared" si="31"/>
        <v>0.3574380165289256</v>
      </c>
      <c r="N81" s="11">
        <f t="shared" si="23"/>
        <v>0.20403110501966532</v>
      </c>
      <c r="O81" s="11">
        <f t="shared" si="24"/>
        <v>0</v>
      </c>
      <c r="P81" s="11">
        <f t="shared" si="25"/>
        <v>0</v>
      </c>
      <c r="Q81" s="20">
        <f t="shared" si="26"/>
        <v>0.42217041271491401</v>
      </c>
      <c r="R81" s="20">
        <f t="shared" si="27"/>
        <v>1</v>
      </c>
      <c r="S81" s="5">
        <f t="shared" si="36"/>
        <v>185.80917351820273</v>
      </c>
      <c r="T81" s="5">
        <f t="shared" si="37"/>
        <v>167.22825616638247</v>
      </c>
      <c r="U81" s="5">
        <f>U80</f>
        <v>182.70208330092478</v>
      </c>
      <c r="V81" s="5">
        <f>V80</f>
        <v>164.43187497083233</v>
      </c>
      <c r="W81" s="62">
        <f t="shared" si="30"/>
        <v>0.86570247933884292</v>
      </c>
    </row>
    <row r="82" spans="2:23" x14ac:dyDescent="0.35">
      <c r="B82">
        <v>61</v>
      </c>
      <c r="C82" s="16" t="str">
        <f t="shared" si="35"/>
        <v>Tue</v>
      </c>
      <c r="D82" s="12">
        <v>44712</v>
      </c>
      <c r="E82">
        <f t="shared" si="38"/>
        <v>122</v>
      </c>
      <c r="F82" s="61">
        <f t="shared" si="17"/>
        <v>242</v>
      </c>
      <c r="G82" s="61">
        <f t="shared" si="18"/>
        <v>51</v>
      </c>
      <c r="H82" s="61">
        <f t="shared" si="19"/>
        <v>61</v>
      </c>
      <c r="I82" s="61">
        <f t="shared" si="20"/>
        <v>12</v>
      </c>
      <c r="J82" s="61">
        <f t="shared" si="21"/>
        <v>0</v>
      </c>
      <c r="K82" s="11">
        <f t="shared" si="28"/>
        <v>0.50413223140495866</v>
      </c>
      <c r="L82" s="11">
        <f t="shared" si="22"/>
        <v>0.21636581738878327</v>
      </c>
      <c r="M82" s="11">
        <f t="shared" si="31"/>
        <v>0.36157024793388431</v>
      </c>
      <c r="N82" s="11">
        <f t="shared" si="23"/>
        <v>0.20638984611815858</v>
      </c>
      <c r="O82" s="11">
        <f t="shared" si="24"/>
        <v>0</v>
      </c>
      <c r="P82" s="11">
        <f t="shared" si="25"/>
        <v>0</v>
      </c>
      <c r="Q82" s="20">
        <f t="shared" si="26"/>
        <v>0.42275566350694183</v>
      </c>
      <c r="R82" s="20">
        <f t="shared" si="27"/>
        <v>1</v>
      </c>
      <c r="S82" s="5">
        <f t="shared" si="36"/>
        <v>186.42508360326332</v>
      </c>
      <c r="T82" s="5">
        <f t="shared" si="37"/>
        <v>167.78257524293699</v>
      </c>
      <c r="U82" s="5">
        <f>U80</f>
        <v>182.70208330092478</v>
      </c>
      <c r="V82" s="5">
        <f>V80</f>
        <v>164.43187497083233</v>
      </c>
      <c r="W82" s="62">
        <f t="shared" si="30"/>
        <v>0.86570247933884303</v>
      </c>
    </row>
    <row r="83" spans="2:23" x14ac:dyDescent="0.35">
      <c r="B83">
        <v>62</v>
      </c>
      <c r="C83" s="16" t="str">
        <f t="shared" si="35"/>
        <v>Wed</v>
      </c>
      <c r="D83" s="12">
        <v>44713</v>
      </c>
      <c r="E83">
        <f t="shared" si="38"/>
        <v>121</v>
      </c>
      <c r="F83" s="61">
        <f t="shared" si="17"/>
        <v>242</v>
      </c>
      <c r="G83" s="61">
        <f t="shared" si="18"/>
        <v>51</v>
      </c>
      <c r="H83" s="61">
        <f t="shared" si="19"/>
        <v>62</v>
      </c>
      <c r="I83" s="61">
        <f t="shared" si="20"/>
        <v>13</v>
      </c>
      <c r="J83" s="61">
        <f t="shared" si="21"/>
        <v>0</v>
      </c>
      <c r="K83" s="11">
        <f t="shared" si="28"/>
        <v>0.5</v>
      </c>
      <c r="L83" s="11">
        <f t="shared" si="22"/>
        <v>0.21459232708231785</v>
      </c>
      <c r="M83" s="11">
        <f t="shared" si="31"/>
        <v>0.36570247933884298</v>
      </c>
      <c r="N83" s="11">
        <f t="shared" si="23"/>
        <v>0.20874858721665182</v>
      </c>
      <c r="O83" s="11">
        <f t="shared" si="24"/>
        <v>0</v>
      </c>
      <c r="P83" s="11">
        <f t="shared" si="25"/>
        <v>0</v>
      </c>
      <c r="Q83" s="20">
        <f t="shared" si="26"/>
        <v>0.42334091429896969</v>
      </c>
      <c r="R83" s="20">
        <f t="shared" si="27"/>
        <v>0.99999999999999989</v>
      </c>
      <c r="S83" s="5">
        <f t="shared" si="36"/>
        <v>187.03929074937838</v>
      </c>
      <c r="T83" s="5">
        <f t="shared" si="37"/>
        <v>168.33536167444055</v>
      </c>
      <c r="U83" s="5">
        <f>U80</f>
        <v>182.70208330092478</v>
      </c>
      <c r="V83" s="5">
        <f>V80</f>
        <v>164.43187497083233</v>
      </c>
      <c r="W83" s="62">
        <f t="shared" si="30"/>
        <v>0.86570247933884303</v>
      </c>
    </row>
    <row r="84" spans="2:23" x14ac:dyDescent="0.35">
      <c r="B84">
        <v>63</v>
      </c>
      <c r="C84" s="16" t="str">
        <f t="shared" si="35"/>
        <v>Thu</v>
      </c>
      <c r="D84" s="68">
        <v>44714</v>
      </c>
      <c r="E84">
        <f t="shared" si="38"/>
        <v>120</v>
      </c>
      <c r="F84" s="61">
        <f t="shared" si="17"/>
        <v>242</v>
      </c>
      <c r="G84" s="61">
        <f t="shared" si="18"/>
        <v>51</v>
      </c>
      <c r="H84" s="61">
        <f t="shared" si="19"/>
        <v>63</v>
      </c>
      <c r="I84" s="61">
        <f t="shared" si="20"/>
        <v>14</v>
      </c>
      <c r="J84" s="61">
        <f t="shared" si="21"/>
        <v>0</v>
      </c>
      <c r="K84" s="11">
        <f t="shared" si="28"/>
        <v>0.49586776859504134</v>
      </c>
      <c r="L84" s="11">
        <f t="shared" si="22"/>
        <v>0.21281883677585242</v>
      </c>
      <c r="M84" s="11">
        <f t="shared" si="31"/>
        <v>0.36983471074380164</v>
      </c>
      <c r="N84" s="11">
        <f t="shared" si="23"/>
        <v>0.21110732831514506</v>
      </c>
      <c r="O84" s="11">
        <f t="shared" si="24"/>
        <v>0</v>
      </c>
      <c r="P84" s="11">
        <f t="shared" si="25"/>
        <v>0</v>
      </c>
      <c r="Q84" s="20">
        <f t="shared" si="26"/>
        <v>0.42392616509099745</v>
      </c>
      <c r="R84" s="20">
        <f t="shared" si="27"/>
        <v>1</v>
      </c>
      <c r="S84" s="5">
        <f t="shared" si="36"/>
        <v>187.65180200951923</v>
      </c>
      <c r="T84" s="5">
        <f t="shared" si="37"/>
        <v>168.8866218085673</v>
      </c>
      <c r="U84" s="5">
        <f>U80</f>
        <v>182.70208330092478</v>
      </c>
      <c r="V84" s="5">
        <f>V80</f>
        <v>164.43187497083233</v>
      </c>
      <c r="W84" s="62">
        <f t="shared" si="30"/>
        <v>0.86570247933884303</v>
      </c>
    </row>
    <row r="85" spans="2:23" x14ac:dyDescent="0.35">
      <c r="B85">
        <v>64</v>
      </c>
      <c r="C85" s="16" t="str">
        <f t="shared" si="35"/>
        <v>Fri</v>
      </c>
      <c r="D85" s="68">
        <v>44715</v>
      </c>
      <c r="E85">
        <f t="shared" si="38"/>
        <v>119</v>
      </c>
      <c r="F85" s="61">
        <f t="shared" si="17"/>
        <v>242</v>
      </c>
      <c r="G85" s="61">
        <f t="shared" si="18"/>
        <v>51</v>
      </c>
      <c r="H85" s="61">
        <f t="shared" si="19"/>
        <v>64</v>
      </c>
      <c r="I85" s="61">
        <f t="shared" si="20"/>
        <v>15</v>
      </c>
      <c r="J85" s="61">
        <f t="shared" si="21"/>
        <v>0</v>
      </c>
      <c r="K85" s="11">
        <f t="shared" si="28"/>
        <v>0.49173553719008267</v>
      </c>
      <c r="L85" s="11">
        <f t="shared" si="22"/>
        <v>0.211045346469387</v>
      </c>
      <c r="M85" s="11">
        <f t="shared" si="31"/>
        <v>0.37396694214876031</v>
      </c>
      <c r="N85" s="11">
        <f t="shared" si="23"/>
        <v>0.2134660694136383</v>
      </c>
      <c r="O85" s="11">
        <f t="shared" si="24"/>
        <v>0</v>
      </c>
      <c r="P85" s="11">
        <f t="shared" si="25"/>
        <v>0</v>
      </c>
      <c r="Q85" s="20">
        <f t="shared" si="26"/>
        <v>0.42451141588302532</v>
      </c>
      <c r="R85" s="20">
        <f t="shared" si="27"/>
        <v>1</v>
      </c>
      <c r="S85" s="5">
        <f t="shared" si="36"/>
        <v>188.26262439776309</v>
      </c>
      <c r="T85" s="5">
        <f t="shared" si="37"/>
        <v>169.43636195798678</v>
      </c>
      <c r="U85" s="5">
        <f>U80</f>
        <v>182.70208330092478</v>
      </c>
      <c r="V85" s="5">
        <f>V80</f>
        <v>164.43187497083233</v>
      </c>
      <c r="W85" s="62">
        <f t="shared" si="30"/>
        <v>0.86570247933884303</v>
      </c>
    </row>
    <row r="86" spans="2:23" x14ac:dyDescent="0.35">
      <c r="B86">
        <v>65</v>
      </c>
      <c r="C86" s="16" t="str">
        <f t="shared" ref="C86:C117" si="39">TEXT(D86,"ddd")</f>
        <v>Sat</v>
      </c>
      <c r="D86" s="12">
        <v>44716</v>
      </c>
      <c r="E86">
        <f t="shared" si="38"/>
        <v>118</v>
      </c>
      <c r="F86" s="61">
        <f t="shared" si="17"/>
        <v>242</v>
      </c>
      <c r="G86" s="61">
        <f t="shared" si="18"/>
        <v>51</v>
      </c>
      <c r="H86" s="61">
        <f t="shared" si="19"/>
        <v>65</v>
      </c>
      <c r="I86" s="61">
        <f t="shared" si="20"/>
        <v>16</v>
      </c>
      <c r="J86" s="61">
        <f t="shared" si="21"/>
        <v>0</v>
      </c>
      <c r="K86" s="11">
        <f t="shared" si="28"/>
        <v>0.48760330578512395</v>
      </c>
      <c r="L86" s="11">
        <f t="shared" si="22"/>
        <v>0.20927185616292154</v>
      </c>
      <c r="M86" s="11">
        <f t="shared" si="31"/>
        <v>0.37809917355371903</v>
      </c>
      <c r="N86" s="11">
        <f t="shared" si="23"/>
        <v>0.21582481051213157</v>
      </c>
      <c r="O86" s="11">
        <f t="shared" si="24"/>
        <v>0</v>
      </c>
      <c r="P86" s="11">
        <f t="shared" si="25"/>
        <v>0</v>
      </c>
      <c r="Q86" s="20">
        <f t="shared" si="26"/>
        <v>0.42509666667505308</v>
      </c>
      <c r="R86" s="20">
        <f t="shared" si="27"/>
        <v>1</v>
      </c>
      <c r="S86" s="5">
        <f t="shared" ref="S86:S117" si="40">((PCc*L86)+(PCn*N86)+(PCn_2*P86))/(L86+N86+P86)</f>
        <v>188.87176488956067</v>
      </c>
      <c r="T86" s="5">
        <f t="shared" ref="T86:T117" si="41">S86*LSLT</f>
        <v>169.98458840060459</v>
      </c>
      <c r="U86" s="5">
        <f>U80</f>
        <v>182.70208330092478</v>
      </c>
      <c r="V86" s="5">
        <f>V80</f>
        <v>164.43187497083233</v>
      </c>
      <c r="W86" s="62">
        <f t="shared" si="30"/>
        <v>0.86570247933884303</v>
      </c>
    </row>
    <row r="87" spans="2:23" x14ac:dyDescent="0.35">
      <c r="B87">
        <v>66</v>
      </c>
      <c r="C87" s="16" t="str">
        <f t="shared" si="39"/>
        <v>Sun</v>
      </c>
      <c r="D87" s="12">
        <v>44717</v>
      </c>
      <c r="E87">
        <f t="shared" si="38"/>
        <v>117</v>
      </c>
      <c r="F87" s="61">
        <f t="shared" ref="F87:F150" si="42">$E$19</f>
        <v>242</v>
      </c>
      <c r="G87" s="61">
        <f t="shared" ref="G87:G150" si="43">$E$18</f>
        <v>51</v>
      </c>
      <c r="H87" s="61">
        <f t="shared" ref="H87:H150" si="44">B87</f>
        <v>66</v>
      </c>
      <c r="I87" s="61">
        <f t="shared" ref="I87:I150" si="45">IF(D87&lt;$D$71,0,B87-49)</f>
        <v>17</v>
      </c>
      <c r="J87" s="61">
        <f t="shared" ref="J87:J150" si="46">IF(D87&lt;$D$175,0,B87-153)</f>
        <v>0</v>
      </c>
      <c r="K87" s="11">
        <f t="shared" ref="K87:K150" si="47">E87/F87</f>
        <v>0.48347107438016529</v>
      </c>
      <c r="L87" s="11">
        <f t="shared" ref="L87:L150" si="48">K87*$D$9</f>
        <v>0.20749836585645609</v>
      </c>
      <c r="M87" s="11">
        <f t="shared" ref="M87:M150" si="49">(G87+0.5*(H87-I87)+(I87-J87))/F87</f>
        <v>0.38223140495867769</v>
      </c>
      <c r="N87" s="11">
        <f t="shared" ref="N87:N150" si="50">M87*$D$10</f>
        <v>0.21818355161062478</v>
      </c>
      <c r="O87" s="11">
        <f t="shared" ref="O87:O150" si="51">J87/F87</f>
        <v>0</v>
      </c>
      <c r="P87" s="11">
        <f t="shared" ref="P87:P150" si="52">O87*$D$9</f>
        <v>0</v>
      </c>
      <c r="Q87" s="20">
        <f t="shared" ref="Q87:Q150" si="53">SUM(L87,N87,P87)</f>
        <v>0.42568191746708084</v>
      </c>
      <c r="R87" s="20">
        <f t="shared" ref="R87:R150" si="54">(L87/Q87)+(N87/Q87)+(P87/Q87)</f>
        <v>1</v>
      </c>
      <c r="S87" s="5">
        <f t="shared" si="40"/>
        <v>189.47923042200171</v>
      </c>
      <c r="T87" s="5">
        <f t="shared" si="41"/>
        <v>170.53130737980155</v>
      </c>
      <c r="U87" s="5">
        <f>AVERAGE(S81:S83)</f>
        <v>186.42451595694811</v>
      </c>
      <c r="V87" s="5">
        <f>AVERAGE(T81:T83)</f>
        <v>167.78206436125333</v>
      </c>
      <c r="W87" s="62">
        <f t="shared" ref="W87:W150" si="55">K87+M87+O87</f>
        <v>0.86570247933884303</v>
      </c>
    </row>
    <row r="88" spans="2:23" x14ac:dyDescent="0.35">
      <c r="B88">
        <v>67</v>
      </c>
      <c r="C88" s="16" t="str">
        <f t="shared" si="39"/>
        <v>Mon</v>
      </c>
      <c r="D88" s="12">
        <v>44718</v>
      </c>
      <c r="E88">
        <f t="shared" si="38"/>
        <v>116</v>
      </c>
      <c r="F88" s="61">
        <f t="shared" si="42"/>
        <v>242</v>
      </c>
      <c r="G88" s="61">
        <f t="shared" si="43"/>
        <v>51</v>
      </c>
      <c r="H88" s="61">
        <f t="shared" si="44"/>
        <v>67</v>
      </c>
      <c r="I88" s="61">
        <f t="shared" si="45"/>
        <v>18</v>
      </c>
      <c r="J88" s="61">
        <f t="shared" si="46"/>
        <v>0</v>
      </c>
      <c r="K88" s="11">
        <f t="shared" si="47"/>
        <v>0.47933884297520662</v>
      </c>
      <c r="L88" s="11">
        <f t="shared" si="48"/>
        <v>0.20572487554999067</v>
      </c>
      <c r="M88" s="11">
        <f t="shared" si="49"/>
        <v>0.38636363636363635</v>
      </c>
      <c r="N88" s="11">
        <f t="shared" si="50"/>
        <v>0.22054229270911802</v>
      </c>
      <c r="O88" s="11">
        <f t="shared" si="51"/>
        <v>0</v>
      </c>
      <c r="P88" s="11">
        <f t="shared" si="52"/>
        <v>0</v>
      </c>
      <c r="Q88" s="20">
        <f t="shared" si="53"/>
        <v>0.42626716825910871</v>
      </c>
      <c r="R88" s="20">
        <f t="shared" si="54"/>
        <v>1</v>
      </c>
      <c r="S88" s="5">
        <f t="shared" si="40"/>
        <v>190.08502789407839</v>
      </c>
      <c r="T88" s="5">
        <f t="shared" si="41"/>
        <v>171.07652510467057</v>
      </c>
      <c r="U88" s="5">
        <f>U87</f>
        <v>186.42451595694811</v>
      </c>
      <c r="V88" s="5">
        <f>V87</f>
        <v>167.78206436125333</v>
      </c>
      <c r="W88" s="62">
        <f t="shared" si="55"/>
        <v>0.86570247933884303</v>
      </c>
    </row>
    <row r="89" spans="2:23" x14ac:dyDescent="0.35">
      <c r="B89">
        <v>68</v>
      </c>
      <c r="C89" s="16" t="str">
        <f t="shared" si="39"/>
        <v>Tue</v>
      </c>
      <c r="D89" s="12">
        <v>44719</v>
      </c>
      <c r="E89">
        <f t="shared" si="38"/>
        <v>115</v>
      </c>
      <c r="F89" s="61">
        <f t="shared" si="42"/>
        <v>242</v>
      </c>
      <c r="G89" s="61">
        <f t="shared" si="43"/>
        <v>51</v>
      </c>
      <c r="H89" s="61">
        <f t="shared" si="44"/>
        <v>68</v>
      </c>
      <c r="I89" s="61">
        <f t="shared" si="45"/>
        <v>19</v>
      </c>
      <c r="J89" s="61">
        <f t="shared" si="46"/>
        <v>0</v>
      </c>
      <c r="K89" s="11">
        <f t="shared" si="47"/>
        <v>0.47520661157024796</v>
      </c>
      <c r="L89" s="11">
        <f t="shared" si="48"/>
        <v>0.20395138524352524</v>
      </c>
      <c r="M89" s="11">
        <f t="shared" si="49"/>
        <v>0.39049586776859502</v>
      </c>
      <c r="N89" s="11">
        <f t="shared" si="50"/>
        <v>0.22290103380761125</v>
      </c>
      <c r="O89" s="11">
        <f t="shared" si="51"/>
        <v>0</v>
      </c>
      <c r="P89" s="11">
        <f t="shared" si="52"/>
        <v>0</v>
      </c>
      <c r="Q89" s="20">
        <f t="shared" si="53"/>
        <v>0.42685241905113647</v>
      </c>
      <c r="R89" s="20">
        <f t="shared" si="54"/>
        <v>1</v>
      </c>
      <c r="S89" s="5">
        <f t="shared" si="40"/>
        <v>190.68916416694663</v>
      </c>
      <c r="T89" s="5">
        <f t="shared" si="41"/>
        <v>171.62024775025196</v>
      </c>
      <c r="U89" s="5">
        <f>U87</f>
        <v>186.42451595694811</v>
      </c>
      <c r="V89" s="5">
        <f>V87</f>
        <v>167.78206436125333</v>
      </c>
      <c r="W89" s="62">
        <f t="shared" si="55"/>
        <v>0.86570247933884303</v>
      </c>
    </row>
    <row r="90" spans="2:23" x14ac:dyDescent="0.35">
      <c r="B90">
        <v>69</v>
      </c>
      <c r="C90" s="16" t="str">
        <f t="shared" si="39"/>
        <v>Wed</v>
      </c>
      <c r="D90" s="12">
        <v>44720</v>
      </c>
      <c r="E90">
        <f t="shared" ref="E90:E121" si="56">$AH$13-D90</f>
        <v>114</v>
      </c>
      <c r="F90" s="61">
        <f t="shared" si="42"/>
        <v>242</v>
      </c>
      <c r="G90" s="61">
        <f t="shared" si="43"/>
        <v>51</v>
      </c>
      <c r="H90" s="61">
        <f t="shared" si="44"/>
        <v>69</v>
      </c>
      <c r="I90" s="61">
        <f t="shared" si="45"/>
        <v>20</v>
      </c>
      <c r="J90" s="61">
        <f t="shared" si="46"/>
        <v>0</v>
      </c>
      <c r="K90" s="11">
        <f t="shared" si="47"/>
        <v>0.47107438016528924</v>
      </c>
      <c r="L90" s="11">
        <f t="shared" si="48"/>
        <v>0.20217789493705979</v>
      </c>
      <c r="M90" s="11">
        <f t="shared" si="49"/>
        <v>0.39462809917355374</v>
      </c>
      <c r="N90" s="11">
        <f t="shared" si="50"/>
        <v>0.22525977490610452</v>
      </c>
      <c r="O90" s="11">
        <f t="shared" si="51"/>
        <v>0</v>
      </c>
      <c r="P90" s="11">
        <f t="shared" si="52"/>
        <v>0</v>
      </c>
      <c r="Q90" s="20">
        <f t="shared" si="53"/>
        <v>0.42743766984316434</v>
      </c>
      <c r="R90" s="20">
        <f t="shared" si="54"/>
        <v>0.99999999999999989</v>
      </c>
      <c r="S90" s="5">
        <f t="shared" si="40"/>
        <v>191.2916460641847</v>
      </c>
      <c r="T90" s="5">
        <f t="shared" si="41"/>
        <v>172.16248145776623</v>
      </c>
      <c r="U90" s="5">
        <f>U87</f>
        <v>186.42451595694811</v>
      </c>
      <c r="V90" s="5">
        <f>V87</f>
        <v>167.78206436125333</v>
      </c>
      <c r="W90" s="62">
        <f t="shared" si="55"/>
        <v>0.86570247933884303</v>
      </c>
    </row>
    <row r="91" spans="2:23" x14ac:dyDescent="0.35">
      <c r="B91">
        <v>70</v>
      </c>
      <c r="C91" s="16" t="str">
        <f t="shared" si="39"/>
        <v>Thu</v>
      </c>
      <c r="D91" s="12">
        <v>44721</v>
      </c>
      <c r="E91">
        <f t="shared" si="56"/>
        <v>113</v>
      </c>
      <c r="F91" s="61">
        <f t="shared" si="42"/>
        <v>242</v>
      </c>
      <c r="G91" s="61">
        <f t="shared" si="43"/>
        <v>51</v>
      </c>
      <c r="H91" s="61">
        <f t="shared" si="44"/>
        <v>70</v>
      </c>
      <c r="I91" s="61">
        <f t="shared" si="45"/>
        <v>21</v>
      </c>
      <c r="J91" s="61">
        <f t="shared" si="46"/>
        <v>0</v>
      </c>
      <c r="K91" s="11">
        <f t="shared" si="47"/>
        <v>0.46694214876033058</v>
      </c>
      <c r="L91" s="11">
        <f t="shared" si="48"/>
        <v>0.20040440463059436</v>
      </c>
      <c r="M91" s="11">
        <f t="shared" si="49"/>
        <v>0.3987603305785124</v>
      </c>
      <c r="N91" s="11">
        <f t="shared" si="50"/>
        <v>0.22761851600459776</v>
      </c>
      <c r="O91" s="11">
        <f t="shared" si="51"/>
        <v>0</v>
      </c>
      <c r="P91" s="11">
        <f t="shared" si="52"/>
        <v>0</v>
      </c>
      <c r="Q91" s="20">
        <f t="shared" si="53"/>
        <v>0.42802292063519209</v>
      </c>
      <c r="R91" s="20">
        <f t="shared" si="54"/>
        <v>1</v>
      </c>
      <c r="S91" s="5">
        <f t="shared" si="40"/>
        <v>191.89248037205064</v>
      </c>
      <c r="T91" s="5">
        <f t="shared" si="41"/>
        <v>172.70323233484558</v>
      </c>
      <c r="U91" s="5">
        <f>U87</f>
        <v>186.42451595694811</v>
      </c>
      <c r="V91" s="5">
        <f>V87</f>
        <v>167.78206436125333</v>
      </c>
      <c r="W91" s="62">
        <f t="shared" si="55"/>
        <v>0.86570247933884303</v>
      </c>
    </row>
    <row r="92" spans="2:23" x14ac:dyDescent="0.35">
      <c r="B92">
        <v>71</v>
      </c>
      <c r="C92" s="16" t="str">
        <f t="shared" si="39"/>
        <v>Fri</v>
      </c>
      <c r="D92" s="12">
        <v>44722</v>
      </c>
      <c r="E92">
        <f t="shared" si="56"/>
        <v>112</v>
      </c>
      <c r="F92" s="61">
        <f t="shared" si="42"/>
        <v>242</v>
      </c>
      <c r="G92" s="61">
        <f t="shared" si="43"/>
        <v>51</v>
      </c>
      <c r="H92" s="61">
        <f t="shared" si="44"/>
        <v>71</v>
      </c>
      <c r="I92" s="61">
        <f t="shared" si="45"/>
        <v>22</v>
      </c>
      <c r="J92" s="61">
        <f t="shared" si="46"/>
        <v>0</v>
      </c>
      <c r="K92" s="11">
        <f t="shared" si="47"/>
        <v>0.46280991735537191</v>
      </c>
      <c r="L92" s="11">
        <f t="shared" si="48"/>
        <v>0.19863091432412891</v>
      </c>
      <c r="M92" s="11">
        <f t="shared" si="49"/>
        <v>0.40289256198347106</v>
      </c>
      <c r="N92" s="11">
        <f t="shared" si="50"/>
        <v>0.229977257103091</v>
      </c>
      <c r="O92" s="11">
        <f t="shared" si="51"/>
        <v>0</v>
      </c>
      <c r="P92" s="11">
        <f t="shared" si="52"/>
        <v>0</v>
      </c>
      <c r="Q92" s="20">
        <f t="shared" si="53"/>
        <v>0.42860817142721991</v>
      </c>
      <c r="R92" s="20">
        <f t="shared" si="54"/>
        <v>1</v>
      </c>
      <c r="S92" s="5">
        <f t="shared" si="40"/>
        <v>192.49167383973668</v>
      </c>
      <c r="T92" s="5">
        <f t="shared" si="41"/>
        <v>173.24250645576302</v>
      </c>
      <c r="U92" s="5">
        <f>U87</f>
        <v>186.42451595694811</v>
      </c>
      <c r="V92" s="5">
        <f>V87</f>
        <v>167.78206436125333</v>
      </c>
      <c r="W92" s="62">
        <f t="shared" si="55"/>
        <v>0.86570247933884303</v>
      </c>
    </row>
    <row r="93" spans="2:23" x14ac:dyDescent="0.35">
      <c r="B93">
        <v>72</v>
      </c>
      <c r="C93" s="16" t="str">
        <f t="shared" si="39"/>
        <v>Sat</v>
      </c>
      <c r="D93" s="12">
        <v>44723</v>
      </c>
      <c r="E93">
        <f t="shared" si="56"/>
        <v>111</v>
      </c>
      <c r="F93" s="61">
        <f t="shared" si="42"/>
        <v>242</v>
      </c>
      <c r="G93" s="61">
        <f t="shared" si="43"/>
        <v>51</v>
      </c>
      <c r="H93" s="61">
        <f t="shared" si="44"/>
        <v>72</v>
      </c>
      <c r="I93" s="61">
        <f t="shared" si="45"/>
        <v>23</v>
      </c>
      <c r="J93" s="61">
        <f t="shared" si="46"/>
        <v>0</v>
      </c>
      <c r="K93" s="11">
        <f t="shared" si="47"/>
        <v>0.45867768595041325</v>
      </c>
      <c r="L93" s="11">
        <f t="shared" si="48"/>
        <v>0.19685742401766348</v>
      </c>
      <c r="M93" s="11">
        <f t="shared" si="49"/>
        <v>0.40702479338842973</v>
      </c>
      <c r="N93" s="11">
        <f t="shared" si="50"/>
        <v>0.23233599820158421</v>
      </c>
      <c r="O93" s="11">
        <f t="shared" si="51"/>
        <v>0</v>
      </c>
      <c r="P93" s="11">
        <f t="shared" si="52"/>
        <v>0</v>
      </c>
      <c r="Q93" s="20">
        <f t="shared" si="53"/>
        <v>0.42919342221924772</v>
      </c>
      <c r="R93" s="20">
        <f t="shared" si="54"/>
        <v>0.99999999999999989</v>
      </c>
      <c r="S93" s="5">
        <f t="shared" si="40"/>
        <v>193.08923317962211</v>
      </c>
      <c r="T93" s="5">
        <f t="shared" si="41"/>
        <v>173.7803098616599</v>
      </c>
      <c r="U93" s="5">
        <f>U87</f>
        <v>186.42451595694811</v>
      </c>
      <c r="V93" s="5">
        <f>V87</f>
        <v>167.78206436125333</v>
      </c>
      <c r="W93" s="62">
        <f t="shared" si="55"/>
        <v>0.86570247933884303</v>
      </c>
    </row>
    <row r="94" spans="2:23" x14ac:dyDescent="0.35">
      <c r="B94">
        <v>73</v>
      </c>
      <c r="C94" s="16" t="str">
        <f t="shared" si="39"/>
        <v>Sun</v>
      </c>
      <c r="D94" s="12">
        <v>44724</v>
      </c>
      <c r="E94">
        <f t="shared" si="56"/>
        <v>110</v>
      </c>
      <c r="F94" s="61">
        <f t="shared" si="42"/>
        <v>242</v>
      </c>
      <c r="G94" s="61">
        <f t="shared" si="43"/>
        <v>51</v>
      </c>
      <c r="H94" s="61">
        <f t="shared" si="44"/>
        <v>73</v>
      </c>
      <c r="I94" s="61">
        <f t="shared" si="45"/>
        <v>24</v>
      </c>
      <c r="J94" s="61">
        <f t="shared" si="46"/>
        <v>0</v>
      </c>
      <c r="K94" s="11">
        <f t="shared" si="47"/>
        <v>0.45454545454545453</v>
      </c>
      <c r="L94" s="11">
        <f t="shared" si="48"/>
        <v>0.19508393371119803</v>
      </c>
      <c r="M94" s="11">
        <f t="shared" si="49"/>
        <v>0.41115702479338845</v>
      </c>
      <c r="N94" s="11">
        <f t="shared" si="50"/>
        <v>0.23469473930007748</v>
      </c>
      <c r="O94" s="11">
        <f t="shared" si="51"/>
        <v>0</v>
      </c>
      <c r="P94" s="11">
        <f t="shared" si="52"/>
        <v>0</v>
      </c>
      <c r="Q94" s="20">
        <f t="shared" si="53"/>
        <v>0.42977867301127548</v>
      </c>
      <c r="R94" s="20">
        <f t="shared" si="54"/>
        <v>1</v>
      </c>
      <c r="S94" s="5">
        <f t="shared" si="40"/>
        <v>193.68516506752397</v>
      </c>
      <c r="T94" s="5">
        <f t="shared" si="41"/>
        <v>174.31664856077157</v>
      </c>
      <c r="U94" s="5">
        <f>AVERAGE(S88:S92)</f>
        <v>191.28999846739939</v>
      </c>
      <c r="V94" s="5">
        <f>AVERAGE(T88:T92)</f>
        <v>172.16099862065948</v>
      </c>
      <c r="W94" s="62">
        <f t="shared" si="55"/>
        <v>0.86570247933884303</v>
      </c>
    </row>
    <row r="95" spans="2:23" x14ac:dyDescent="0.35">
      <c r="B95">
        <v>74</v>
      </c>
      <c r="C95" s="16" t="str">
        <f t="shared" si="39"/>
        <v>Mon</v>
      </c>
      <c r="D95" s="12">
        <v>44725</v>
      </c>
      <c r="E95">
        <f t="shared" si="56"/>
        <v>109</v>
      </c>
      <c r="F95" s="61">
        <f t="shared" si="42"/>
        <v>242</v>
      </c>
      <c r="G95" s="61">
        <f t="shared" si="43"/>
        <v>51</v>
      </c>
      <c r="H95" s="61">
        <f t="shared" si="44"/>
        <v>74</v>
      </c>
      <c r="I95" s="61">
        <f t="shared" si="45"/>
        <v>25</v>
      </c>
      <c r="J95" s="61">
        <f t="shared" si="46"/>
        <v>0</v>
      </c>
      <c r="K95" s="11">
        <f t="shared" si="47"/>
        <v>0.45041322314049587</v>
      </c>
      <c r="L95" s="11">
        <f t="shared" si="48"/>
        <v>0.19331044340473261</v>
      </c>
      <c r="M95" s="11">
        <f t="shared" si="49"/>
        <v>0.41528925619834711</v>
      </c>
      <c r="N95" s="11">
        <f t="shared" si="50"/>
        <v>0.23705348039857072</v>
      </c>
      <c r="O95" s="11">
        <f t="shared" si="51"/>
        <v>0</v>
      </c>
      <c r="P95" s="11">
        <f t="shared" si="52"/>
        <v>0</v>
      </c>
      <c r="Q95" s="20">
        <f t="shared" si="53"/>
        <v>0.43036392380330335</v>
      </c>
      <c r="R95" s="20">
        <f t="shared" si="54"/>
        <v>1</v>
      </c>
      <c r="S95" s="5">
        <f t="shared" si="40"/>
        <v>194.27947614294544</v>
      </c>
      <c r="T95" s="5">
        <f t="shared" si="41"/>
        <v>174.8515285286509</v>
      </c>
      <c r="U95" s="5">
        <f>U94</f>
        <v>191.28999846739939</v>
      </c>
      <c r="V95" s="5">
        <f>V94</f>
        <v>172.16099862065948</v>
      </c>
      <c r="W95" s="62">
        <f t="shared" si="55"/>
        <v>0.86570247933884303</v>
      </c>
    </row>
    <row r="96" spans="2:23" x14ac:dyDescent="0.35">
      <c r="B96">
        <v>75</v>
      </c>
      <c r="C96" s="16" t="str">
        <f t="shared" si="39"/>
        <v>Tue</v>
      </c>
      <c r="D96" s="12">
        <v>44726</v>
      </c>
      <c r="E96">
        <f t="shared" si="56"/>
        <v>108</v>
      </c>
      <c r="F96" s="61">
        <f t="shared" si="42"/>
        <v>242</v>
      </c>
      <c r="G96" s="61">
        <f t="shared" si="43"/>
        <v>51</v>
      </c>
      <c r="H96" s="61">
        <f t="shared" si="44"/>
        <v>75</v>
      </c>
      <c r="I96" s="61">
        <f t="shared" si="45"/>
        <v>26</v>
      </c>
      <c r="J96" s="61">
        <f t="shared" si="46"/>
        <v>0</v>
      </c>
      <c r="K96" s="11">
        <f t="shared" si="47"/>
        <v>0.4462809917355372</v>
      </c>
      <c r="L96" s="11">
        <f t="shared" si="48"/>
        <v>0.19153695309826718</v>
      </c>
      <c r="M96" s="11">
        <f t="shared" si="49"/>
        <v>0.41942148760330578</v>
      </c>
      <c r="N96" s="11">
        <f t="shared" si="50"/>
        <v>0.23941222149706395</v>
      </c>
      <c r="O96" s="11">
        <f t="shared" si="51"/>
        <v>0</v>
      </c>
      <c r="P96" s="11">
        <f t="shared" si="52"/>
        <v>0</v>
      </c>
      <c r="Q96" s="20">
        <f t="shared" si="53"/>
        <v>0.43094917459533111</v>
      </c>
      <c r="R96" s="20">
        <f t="shared" si="54"/>
        <v>1</v>
      </c>
      <c r="S96" s="5">
        <f t="shared" si="40"/>
        <v>194.87217300932284</v>
      </c>
      <c r="T96" s="5">
        <f t="shared" si="41"/>
        <v>175.38495570839055</v>
      </c>
      <c r="U96" s="5">
        <f>U94</f>
        <v>191.28999846739939</v>
      </c>
      <c r="V96" s="5">
        <f>V94</f>
        <v>172.16099862065948</v>
      </c>
      <c r="W96" s="62">
        <f t="shared" si="55"/>
        <v>0.86570247933884303</v>
      </c>
    </row>
    <row r="97" spans="2:23" x14ac:dyDescent="0.35">
      <c r="B97">
        <v>76</v>
      </c>
      <c r="C97" s="16" t="str">
        <f t="shared" si="39"/>
        <v>Wed</v>
      </c>
      <c r="D97" s="12">
        <v>44727</v>
      </c>
      <c r="E97">
        <f t="shared" si="56"/>
        <v>107</v>
      </c>
      <c r="F97" s="61">
        <f t="shared" si="42"/>
        <v>242</v>
      </c>
      <c r="G97" s="61">
        <f t="shared" si="43"/>
        <v>51</v>
      </c>
      <c r="H97" s="61">
        <f t="shared" si="44"/>
        <v>76</v>
      </c>
      <c r="I97" s="61">
        <f t="shared" si="45"/>
        <v>27</v>
      </c>
      <c r="J97" s="61">
        <f t="shared" si="46"/>
        <v>0</v>
      </c>
      <c r="K97" s="11">
        <f t="shared" si="47"/>
        <v>0.44214876033057854</v>
      </c>
      <c r="L97" s="11">
        <f t="shared" si="48"/>
        <v>0.18976346279180176</v>
      </c>
      <c r="M97" s="11">
        <f t="shared" si="49"/>
        <v>0.42355371900826444</v>
      </c>
      <c r="N97" s="11">
        <f t="shared" si="50"/>
        <v>0.24177096259555719</v>
      </c>
      <c r="O97" s="11">
        <f t="shared" si="51"/>
        <v>0</v>
      </c>
      <c r="P97" s="11">
        <f t="shared" si="52"/>
        <v>0</v>
      </c>
      <c r="Q97" s="20">
        <f t="shared" si="53"/>
        <v>0.43153442538735898</v>
      </c>
      <c r="R97" s="20">
        <f t="shared" si="54"/>
        <v>1</v>
      </c>
      <c r="S97" s="5">
        <f t="shared" si="40"/>
        <v>195.46326223426962</v>
      </c>
      <c r="T97" s="5">
        <f t="shared" si="41"/>
        <v>175.91693601084268</v>
      </c>
      <c r="U97" s="5">
        <f>U94</f>
        <v>191.28999846739939</v>
      </c>
      <c r="V97" s="5">
        <f>V94</f>
        <v>172.16099862065948</v>
      </c>
      <c r="W97" s="62">
        <f t="shared" si="55"/>
        <v>0.86570247933884303</v>
      </c>
    </row>
    <row r="98" spans="2:23" x14ac:dyDescent="0.35">
      <c r="B98">
        <v>77</v>
      </c>
      <c r="C98" s="16" t="str">
        <f t="shared" si="39"/>
        <v>Thu</v>
      </c>
      <c r="D98" s="12">
        <v>44728</v>
      </c>
      <c r="E98">
        <f t="shared" si="56"/>
        <v>106</v>
      </c>
      <c r="F98" s="61">
        <f t="shared" si="42"/>
        <v>242</v>
      </c>
      <c r="G98" s="61">
        <f t="shared" si="43"/>
        <v>51</v>
      </c>
      <c r="H98" s="61">
        <f t="shared" si="44"/>
        <v>77</v>
      </c>
      <c r="I98" s="61">
        <f t="shared" si="45"/>
        <v>28</v>
      </c>
      <c r="J98" s="61">
        <f t="shared" si="46"/>
        <v>0</v>
      </c>
      <c r="K98" s="11">
        <f t="shared" si="47"/>
        <v>0.43801652892561982</v>
      </c>
      <c r="L98" s="11">
        <f t="shared" si="48"/>
        <v>0.18798997248533628</v>
      </c>
      <c r="M98" s="11">
        <f t="shared" si="49"/>
        <v>0.42768595041322316</v>
      </c>
      <c r="N98" s="11">
        <f t="shared" si="50"/>
        <v>0.24412970369405046</v>
      </c>
      <c r="O98" s="11">
        <f t="shared" si="51"/>
        <v>0</v>
      </c>
      <c r="P98" s="11">
        <f t="shared" si="52"/>
        <v>0</v>
      </c>
      <c r="Q98" s="20">
        <f t="shared" si="53"/>
        <v>0.43211967617938674</v>
      </c>
      <c r="R98" s="20">
        <f t="shared" si="54"/>
        <v>1</v>
      </c>
      <c r="S98" s="5">
        <f t="shared" si="40"/>
        <v>196.05275034981955</v>
      </c>
      <c r="T98" s="5">
        <f t="shared" si="41"/>
        <v>176.44747531483759</v>
      </c>
      <c r="U98" s="5">
        <f>U94</f>
        <v>191.28999846739939</v>
      </c>
      <c r="V98" s="5">
        <f>V94</f>
        <v>172.16099862065948</v>
      </c>
      <c r="W98" s="62">
        <f t="shared" si="55"/>
        <v>0.86570247933884303</v>
      </c>
    </row>
    <row r="99" spans="2:23" x14ac:dyDescent="0.35">
      <c r="B99">
        <v>78</v>
      </c>
      <c r="C99" s="16" t="str">
        <f t="shared" si="39"/>
        <v>Fri</v>
      </c>
      <c r="D99" s="12">
        <v>44729</v>
      </c>
      <c r="E99">
        <f t="shared" si="56"/>
        <v>105</v>
      </c>
      <c r="F99" s="61">
        <f t="shared" si="42"/>
        <v>242</v>
      </c>
      <c r="G99" s="61">
        <f t="shared" si="43"/>
        <v>51</v>
      </c>
      <c r="H99" s="61">
        <f t="shared" si="44"/>
        <v>78</v>
      </c>
      <c r="I99" s="61">
        <f t="shared" si="45"/>
        <v>29</v>
      </c>
      <c r="J99" s="61">
        <f t="shared" si="46"/>
        <v>0</v>
      </c>
      <c r="K99" s="11">
        <f t="shared" si="47"/>
        <v>0.43388429752066116</v>
      </c>
      <c r="L99" s="11">
        <f t="shared" si="48"/>
        <v>0.18621648217887085</v>
      </c>
      <c r="M99" s="11">
        <f t="shared" si="49"/>
        <v>0.43181818181818182</v>
      </c>
      <c r="N99" s="11">
        <f t="shared" si="50"/>
        <v>0.24648844479254367</v>
      </c>
      <c r="O99" s="11">
        <f t="shared" si="51"/>
        <v>0</v>
      </c>
      <c r="P99" s="11">
        <f t="shared" si="52"/>
        <v>0</v>
      </c>
      <c r="Q99" s="20">
        <f t="shared" si="53"/>
        <v>0.43270492697141449</v>
      </c>
      <c r="R99" s="20">
        <f t="shared" si="54"/>
        <v>1</v>
      </c>
      <c r="S99" s="5">
        <f t="shared" si="40"/>
        <v>196.64064385266684</v>
      </c>
      <c r="T99" s="5">
        <f t="shared" si="41"/>
        <v>176.97657946740017</v>
      </c>
      <c r="U99" s="5">
        <f>U94</f>
        <v>191.28999846739939</v>
      </c>
      <c r="V99" s="5">
        <f>V94</f>
        <v>172.16099862065948</v>
      </c>
      <c r="W99" s="62">
        <f t="shared" si="55"/>
        <v>0.86570247933884303</v>
      </c>
    </row>
    <row r="100" spans="2:23" x14ac:dyDescent="0.35">
      <c r="B100">
        <v>79</v>
      </c>
      <c r="C100" s="16" t="str">
        <f t="shared" si="39"/>
        <v>Sat</v>
      </c>
      <c r="D100" s="12">
        <v>44730</v>
      </c>
      <c r="E100">
        <f t="shared" si="56"/>
        <v>104</v>
      </c>
      <c r="F100" s="61">
        <f t="shared" si="42"/>
        <v>242</v>
      </c>
      <c r="G100" s="61">
        <f t="shared" si="43"/>
        <v>51</v>
      </c>
      <c r="H100" s="61">
        <f t="shared" si="44"/>
        <v>79</v>
      </c>
      <c r="I100" s="61">
        <f t="shared" si="45"/>
        <v>30</v>
      </c>
      <c r="J100" s="61">
        <f t="shared" si="46"/>
        <v>0</v>
      </c>
      <c r="K100" s="11">
        <f t="shared" si="47"/>
        <v>0.42975206611570249</v>
      </c>
      <c r="L100" s="11">
        <f t="shared" si="48"/>
        <v>0.18444299187240543</v>
      </c>
      <c r="M100" s="11">
        <f t="shared" si="49"/>
        <v>0.43595041322314049</v>
      </c>
      <c r="N100" s="11">
        <f t="shared" si="50"/>
        <v>0.24884718589103691</v>
      </c>
      <c r="O100" s="11">
        <f t="shared" si="51"/>
        <v>0</v>
      </c>
      <c r="P100" s="11">
        <f t="shared" si="52"/>
        <v>0</v>
      </c>
      <c r="Q100" s="20">
        <f t="shared" si="53"/>
        <v>0.43329017776344236</v>
      </c>
      <c r="R100" s="20">
        <f t="shared" si="54"/>
        <v>0.99999999999999989</v>
      </c>
      <c r="S100" s="5">
        <f t="shared" si="40"/>
        <v>197.22694920440512</v>
      </c>
      <c r="T100" s="5">
        <f t="shared" si="41"/>
        <v>177.5042542839646</v>
      </c>
      <c r="U100" s="5">
        <f>U94</f>
        <v>191.28999846739939</v>
      </c>
      <c r="V100" s="5">
        <f>V94</f>
        <v>172.16099862065948</v>
      </c>
      <c r="W100" s="62">
        <f t="shared" si="55"/>
        <v>0.86570247933884303</v>
      </c>
    </row>
    <row r="101" spans="2:23" x14ac:dyDescent="0.35">
      <c r="B101">
        <v>80</v>
      </c>
      <c r="C101" s="16" t="str">
        <f t="shared" si="39"/>
        <v>Sun</v>
      </c>
      <c r="D101" s="12">
        <v>44731</v>
      </c>
      <c r="E101">
        <f t="shared" si="56"/>
        <v>103</v>
      </c>
      <c r="F101" s="61">
        <f t="shared" si="42"/>
        <v>242</v>
      </c>
      <c r="G101" s="61">
        <f t="shared" si="43"/>
        <v>51</v>
      </c>
      <c r="H101" s="61">
        <f t="shared" si="44"/>
        <v>80</v>
      </c>
      <c r="I101" s="61">
        <f t="shared" si="45"/>
        <v>31</v>
      </c>
      <c r="J101" s="61">
        <f t="shared" si="46"/>
        <v>0</v>
      </c>
      <c r="K101" s="11">
        <f t="shared" si="47"/>
        <v>0.42561983471074383</v>
      </c>
      <c r="L101" s="11">
        <f t="shared" si="48"/>
        <v>0.18266950156594</v>
      </c>
      <c r="M101" s="11">
        <f t="shared" si="49"/>
        <v>0.44008264462809915</v>
      </c>
      <c r="N101" s="11">
        <f t="shared" si="50"/>
        <v>0.25120592698953015</v>
      </c>
      <c r="O101" s="11">
        <f t="shared" si="51"/>
        <v>0</v>
      </c>
      <c r="P101" s="11">
        <f t="shared" si="52"/>
        <v>0</v>
      </c>
      <c r="Q101" s="20">
        <f t="shared" si="53"/>
        <v>0.43387542855547012</v>
      </c>
      <c r="R101" s="20">
        <f t="shared" si="54"/>
        <v>1</v>
      </c>
      <c r="S101" s="5">
        <f t="shared" si="40"/>
        <v>197.81167283176407</v>
      </c>
      <c r="T101" s="5">
        <f t="shared" si="41"/>
        <v>178.03050554858766</v>
      </c>
      <c r="U101" s="5">
        <f>AVERAGE(S95:S99)</f>
        <v>195.46166111780485</v>
      </c>
      <c r="V101" s="5">
        <f>AVERAGE(T95:T99)</f>
        <v>175.91549500602437</v>
      </c>
      <c r="W101" s="62">
        <f t="shared" si="55"/>
        <v>0.86570247933884303</v>
      </c>
    </row>
    <row r="102" spans="2:23" x14ac:dyDescent="0.35">
      <c r="B102">
        <v>81</v>
      </c>
      <c r="C102" s="16" t="str">
        <f t="shared" si="39"/>
        <v>Mon</v>
      </c>
      <c r="D102" s="12">
        <v>44732</v>
      </c>
      <c r="E102">
        <f t="shared" si="56"/>
        <v>102</v>
      </c>
      <c r="F102" s="61">
        <f t="shared" si="42"/>
        <v>242</v>
      </c>
      <c r="G102" s="61">
        <f t="shared" si="43"/>
        <v>51</v>
      </c>
      <c r="H102" s="61">
        <f t="shared" si="44"/>
        <v>81</v>
      </c>
      <c r="I102" s="61">
        <f t="shared" si="45"/>
        <v>32</v>
      </c>
      <c r="J102" s="61">
        <f t="shared" si="46"/>
        <v>0</v>
      </c>
      <c r="K102" s="11">
        <f t="shared" si="47"/>
        <v>0.42148760330578511</v>
      </c>
      <c r="L102" s="11">
        <f t="shared" si="48"/>
        <v>0.18089601125947455</v>
      </c>
      <c r="M102" s="11">
        <f t="shared" si="49"/>
        <v>0.44421487603305787</v>
      </c>
      <c r="N102" s="11">
        <f t="shared" si="50"/>
        <v>0.25356466808802341</v>
      </c>
      <c r="O102" s="11">
        <f t="shared" si="51"/>
        <v>0</v>
      </c>
      <c r="P102" s="11">
        <f t="shared" si="52"/>
        <v>0</v>
      </c>
      <c r="Q102" s="20">
        <f t="shared" si="53"/>
        <v>0.43446067934749799</v>
      </c>
      <c r="R102" s="20">
        <f t="shared" si="54"/>
        <v>1</v>
      </c>
      <c r="S102" s="5">
        <f t="shared" si="40"/>
        <v>198.39482112684414</v>
      </c>
      <c r="T102" s="5">
        <f t="shared" si="41"/>
        <v>178.55533901415973</v>
      </c>
      <c r="U102" s="5">
        <f>U101</f>
        <v>195.46166111780485</v>
      </c>
      <c r="V102" s="5">
        <f>V101</f>
        <v>175.91549500602437</v>
      </c>
      <c r="W102" s="62">
        <f t="shared" si="55"/>
        <v>0.86570247933884303</v>
      </c>
    </row>
    <row r="103" spans="2:23" x14ac:dyDescent="0.35">
      <c r="B103">
        <v>82</v>
      </c>
      <c r="C103" s="16" t="str">
        <f t="shared" si="39"/>
        <v>Tue</v>
      </c>
      <c r="D103" s="12">
        <v>44733</v>
      </c>
      <c r="E103">
        <f t="shared" si="56"/>
        <v>101</v>
      </c>
      <c r="F103" s="61">
        <f t="shared" si="42"/>
        <v>242</v>
      </c>
      <c r="G103" s="61">
        <f t="shared" si="43"/>
        <v>51</v>
      </c>
      <c r="H103" s="61">
        <f t="shared" si="44"/>
        <v>82</v>
      </c>
      <c r="I103" s="61">
        <f t="shared" si="45"/>
        <v>33</v>
      </c>
      <c r="J103" s="61">
        <f t="shared" si="46"/>
        <v>0</v>
      </c>
      <c r="K103" s="11">
        <f t="shared" si="47"/>
        <v>0.41735537190082644</v>
      </c>
      <c r="L103" s="11">
        <f t="shared" si="48"/>
        <v>0.17912252095300912</v>
      </c>
      <c r="M103" s="11">
        <f t="shared" si="49"/>
        <v>0.44834710743801653</v>
      </c>
      <c r="N103" s="11">
        <f t="shared" si="50"/>
        <v>0.25592340918651663</v>
      </c>
      <c r="O103" s="11">
        <f t="shared" si="51"/>
        <v>0</v>
      </c>
      <c r="P103" s="11">
        <f t="shared" si="52"/>
        <v>0</v>
      </c>
      <c r="Q103" s="20">
        <f t="shared" si="53"/>
        <v>0.43504593013952575</v>
      </c>
      <c r="R103" s="20">
        <f t="shared" si="54"/>
        <v>1</v>
      </c>
      <c r="S103" s="5">
        <f t="shared" si="40"/>
        <v>198.97640044734973</v>
      </c>
      <c r="T103" s="5">
        <f t="shared" si="41"/>
        <v>179.07876040261476</v>
      </c>
      <c r="U103" s="5">
        <f>U101</f>
        <v>195.46166111780485</v>
      </c>
      <c r="V103" s="5">
        <f>V101</f>
        <v>175.91549500602437</v>
      </c>
      <c r="W103" s="62">
        <f t="shared" si="55"/>
        <v>0.86570247933884303</v>
      </c>
    </row>
    <row r="104" spans="2:23" x14ac:dyDescent="0.35">
      <c r="B104">
        <v>83</v>
      </c>
      <c r="C104" s="16" t="str">
        <f t="shared" si="39"/>
        <v>Wed</v>
      </c>
      <c r="D104" s="12">
        <v>44734</v>
      </c>
      <c r="E104">
        <f t="shared" si="56"/>
        <v>100</v>
      </c>
      <c r="F104" s="61">
        <f t="shared" si="42"/>
        <v>242</v>
      </c>
      <c r="G104" s="61">
        <f t="shared" si="43"/>
        <v>51</v>
      </c>
      <c r="H104" s="61">
        <f t="shared" si="44"/>
        <v>83</v>
      </c>
      <c r="I104" s="61">
        <f t="shared" si="45"/>
        <v>34</v>
      </c>
      <c r="J104" s="61">
        <f t="shared" si="46"/>
        <v>0</v>
      </c>
      <c r="K104" s="11">
        <f t="shared" si="47"/>
        <v>0.41322314049586778</v>
      </c>
      <c r="L104" s="11">
        <f t="shared" si="48"/>
        <v>0.17734903064654367</v>
      </c>
      <c r="M104" s="11">
        <f t="shared" si="49"/>
        <v>0.4524793388429752</v>
      </c>
      <c r="N104" s="11">
        <f t="shared" si="50"/>
        <v>0.25828215028500989</v>
      </c>
      <c r="O104" s="11">
        <f t="shared" si="51"/>
        <v>0</v>
      </c>
      <c r="P104" s="11">
        <f t="shared" si="52"/>
        <v>0</v>
      </c>
      <c r="Q104" s="20">
        <f t="shared" si="53"/>
        <v>0.43563118093155356</v>
      </c>
      <c r="R104" s="20">
        <f t="shared" si="54"/>
        <v>1</v>
      </c>
      <c r="S104" s="5">
        <f t="shared" si="40"/>
        <v>199.55641711682</v>
      </c>
      <c r="T104" s="5">
        <f t="shared" si="41"/>
        <v>179.60077540513799</v>
      </c>
      <c r="U104" s="5">
        <f>U101</f>
        <v>195.46166111780485</v>
      </c>
      <c r="V104" s="5">
        <f>V101</f>
        <v>175.91549500602437</v>
      </c>
      <c r="W104" s="62">
        <f t="shared" si="55"/>
        <v>0.86570247933884303</v>
      </c>
    </row>
    <row r="105" spans="2:23" x14ac:dyDescent="0.35">
      <c r="B105">
        <v>84</v>
      </c>
      <c r="C105" s="16" t="str">
        <f t="shared" si="39"/>
        <v>Thu</v>
      </c>
      <c r="D105" s="12">
        <v>44735</v>
      </c>
      <c r="E105">
        <f t="shared" si="56"/>
        <v>99</v>
      </c>
      <c r="F105" s="61">
        <f t="shared" si="42"/>
        <v>242</v>
      </c>
      <c r="G105" s="61">
        <f t="shared" si="43"/>
        <v>51</v>
      </c>
      <c r="H105" s="61">
        <f t="shared" si="44"/>
        <v>84</v>
      </c>
      <c r="I105" s="61">
        <f t="shared" si="45"/>
        <v>35</v>
      </c>
      <c r="J105" s="61">
        <f t="shared" si="46"/>
        <v>0</v>
      </c>
      <c r="K105" s="11">
        <f t="shared" si="47"/>
        <v>0.40909090909090912</v>
      </c>
      <c r="L105" s="11">
        <f t="shared" si="48"/>
        <v>0.17557554034007825</v>
      </c>
      <c r="M105" s="11">
        <f t="shared" si="49"/>
        <v>0.45661157024793386</v>
      </c>
      <c r="N105" s="11">
        <f t="shared" si="50"/>
        <v>0.2606408913835031</v>
      </c>
      <c r="O105" s="11">
        <f t="shared" si="51"/>
        <v>0</v>
      </c>
      <c r="P105" s="11">
        <f t="shared" si="52"/>
        <v>0</v>
      </c>
      <c r="Q105" s="20">
        <f t="shared" si="53"/>
        <v>0.43621643172358138</v>
      </c>
      <c r="R105" s="20">
        <f t="shared" si="54"/>
        <v>1</v>
      </c>
      <c r="S105" s="5">
        <f t="shared" si="40"/>
        <v>200.13487742485808</v>
      </c>
      <c r="T105" s="5">
        <f t="shared" si="41"/>
        <v>180.12138968237227</v>
      </c>
      <c r="U105" s="5">
        <f>U101</f>
        <v>195.46166111780485</v>
      </c>
      <c r="V105" s="5">
        <f>V101</f>
        <v>175.91549500602437</v>
      </c>
      <c r="W105" s="62">
        <f t="shared" si="55"/>
        <v>0.86570247933884303</v>
      </c>
    </row>
    <row r="106" spans="2:23" x14ac:dyDescent="0.35">
      <c r="B106">
        <v>85</v>
      </c>
      <c r="C106" s="16" t="str">
        <f t="shared" si="39"/>
        <v>Fri</v>
      </c>
      <c r="D106" s="12">
        <v>44736</v>
      </c>
      <c r="E106">
        <f t="shared" si="56"/>
        <v>98</v>
      </c>
      <c r="F106" s="61">
        <f t="shared" si="42"/>
        <v>242</v>
      </c>
      <c r="G106" s="61">
        <f t="shared" si="43"/>
        <v>51</v>
      </c>
      <c r="H106" s="61">
        <f t="shared" si="44"/>
        <v>85</v>
      </c>
      <c r="I106" s="61">
        <f t="shared" si="45"/>
        <v>36</v>
      </c>
      <c r="J106" s="61">
        <f t="shared" si="46"/>
        <v>0</v>
      </c>
      <c r="K106" s="11">
        <f t="shared" si="47"/>
        <v>0.4049586776859504</v>
      </c>
      <c r="L106" s="11">
        <f t="shared" si="48"/>
        <v>0.17380205003361279</v>
      </c>
      <c r="M106" s="11">
        <f t="shared" si="49"/>
        <v>0.46074380165289258</v>
      </c>
      <c r="N106" s="11">
        <f t="shared" si="50"/>
        <v>0.26299963248199637</v>
      </c>
      <c r="O106" s="11">
        <f t="shared" si="51"/>
        <v>0</v>
      </c>
      <c r="P106" s="11">
        <f t="shared" si="52"/>
        <v>0</v>
      </c>
      <c r="Q106" s="20">
        <f t="shared" si="53"/>
        <v>0.43680168251560914</v>
      </c>
      <c r="R106" s="20">
        <f t="shared" si="54"/>
        <v>1</v>
      </c>
      <c r="S106" s="5">
        <f t="shared" si="40"/>
        <v>200.71178762735875</v>
      </c>
      <c r="T106" s="5">
        <f t="shared" si="41"/>
        <v>180.64060886462286</v>
      </c>
      <c r="U106" s="5">
        <f>U101</f>
        <v>195.46166111780485</v>
      </c>
      <c r="V106" s="5">
        <f>V101</f>
        <v>175.91549500602437</v>
      </c>
      <c r="W106" s="62">
        <f t="shared" si="55"/>
        <v>0.86570247933884303</v>
      </c>
    </row>
    <row r="107" spans="2:23" x14ac:dyDescent="0.35">
      <c r="B107">
        <v>86</v>
      </c>
      <c r="C107" s="16" t="str">
        <f t="shared" si="39"/>
        <v>Sat</v>
      </c>
      <c r="D107" s="12">
        <v>44737</v>
      </c>
      <c r="E107">
        <f t="shared" si="56"/>
        <v>97</v>
      </c>
      <c r="F107" s="61">
        <f t="shared" si="42"/>
        <v>242</v>
      </c>
      <c r="G107" s="61">
        <f t="shared" si="43"/>
        <v>51</v>
      </c>
      <c r="H107" s="61">
        <f t="shared" si="44"/>
        <v>86</v>
      </c>
      <c r="I107" s="61">
        <f t="shared" si="45"/>
        <v>37</v>
      </c>
      <c r="J107" s="61">
        <f t="shared" si="46"/>
        <v>0</v>
      </c>
      <c r="K107" s="11">
        <f t="shared" si="47"/>
        <v>0.40082644628099173</v>
      </c>
      <c r="L107" s="11">
        <f t="shared" si="48"/>
        <v>0.17202855972714737</v>
      </c>
      <c r="M107" s="11">
        <f t="shared" si="49"/>
        <v>0.46487603305785125</v>
      </c>
      <c r="N107" s="11">
        <f t="shared" si="50"/>
        <v>0.26535837358048958</v>
      </c>
      <c r="O107" s="11">
        <f t="shared" si="51"/>
        <v>0</v>
      </c>
      <c r="P107" s="11">
        <f t="shared" si="52"/>
        <v>0</v>
      </c>
      <c r="Q107" s="20">
        <f t="shared" si="53"/>
        <v>0.43738693330763695</v>
      </c>
      <c r="R107" s="20">
        <f t="shared" si="54"/>
        <v>1</v>
      </c>
      <c r="S107" s="5">
        <f t="shared" si="40"/>
        <v>201.28715394673327</v>
      </c>
      <c r="T107" s="5">
        <f t="shared" si="41"/>
        <v>181.15843855205995</v>
      </c>
      <c r="U107" s="5">
        <f>U101</f>
        <v>195.46166111780485</v>
      </c>
      <c r="V107" s="5">
        <f>V101</f>
        <v>175.91549500602437</v>
      </c>
      <c r="W107" s="62">
        <f t="shared" si="55"/>
        <v>0.86570247933884303</v>
      </c>
    </row>
    <row r="108" spans="2:23" x14ac:dyDescent="0.35">
      <c r="B108">
        <v>87</v>
      </c>
      <c r="C108" s="16" t="str">
        <f t="shared" si="39"/>
        <v>Sun</v>
      </c>
      <c r="D108" s="12">
        <v>44738</v>
      </c>
      <c r="E108">
        <f t="shared" si="56"/>
        <v>96</v>
      </c>
      <c r="F108" s="61">
        <f t="shared" si="42"/>
        <v>242</v>
      </c>
      <c r="G108" s="61">
        <f t="shared" si="43"/>
        <v>51</v>
      </c>
      <c r="H108" s="61">
        <f t="shared" si="44"/>
        <v>87</v>
      </c>
      <c r="I108" s="61">
        <f t="shared" si="45"/>
        <v>38</v>
      </c>
      <c r="J108" s="61">
        <f t="shared" si="46"/>
        <v>0</v>
      </c>
      <c r="K108" s="11">
        <f t="shared" si="47"/>
        <v>0.39669421487603307</v>
      </c>
      <c r="L108" s="11">
        <f t="shared" si="48"/>
        <v>0.17025506942068194</v>
      </c>
      <c r="M108" s="11">
        <f t="shared" si="49"/>
        <v>0.46900826446280991</v>
      </c>
      <c r="N108" s="11">
        <f t="shared" si="50"/>
        <v>0.26771711467898285</v>
      </c>
      <c r="O108" s="11">
        <f t="shared" si="51"/>
        <v>0</v>
      </c>
      <c r="P108" s="11">
        <f t="shared" si="52"/>
        <v>0</v>
      </c>
      <c r="Q108" s="20">
        <f t="shared" si="53"/>
        <v>0.43797218409966476</v>
      </c>
      <c r="R108" s="20">
        <f t="shared" si="54"/>
        <v>1</v>
      </c>
      <c r="S108" s="5">
        <f t="shared" si="40"/>
        <v>201.86098257213391</v>
      </c>
      <c r="T108" s="5">
        <f t="shared" si="41"/>
        <v>181.67488431492052</v>
      </c>
      <c r="U108" s="5">
        <f>AVERAGE(S102:S106)</f>
        <v>199.55486074864615</v>
      </c>
      <c r="V108" s="5">
        <f>AVERAGE(T102:T106)</f>
        <v>179.59937467378151</v>
      </c>
      <c r="W108" s="62">
        <f t="shared" si="55"/>
        <v>0.86570247933884303</v>
      </c>
    </row>
    <row r="109" spans="2:23" x14ac:dyDescent="0.35">
      <c r="B109">
        <v>88</v>
      </c>
      <c r="C109" s="16" t="str">
        <f t="shared" si="39"/>
        <v>Mon</v>
      </c>
      <c r="D109" s="12">
        <v>44739</v>
      </c>
      <c r="E109">
        <f t="shared" si="56"/>
        <v>95</v>
      </c>
      <c r="F109" s="61">
        <f t="shared" si="42"/>
        <v>242</v>
      </c>
      <c r="G109" s="61">
        <f t="shared" si="43"/>
        <v>51</v>
      </c>
      <c r="H109" s="61">
        <f t="shared" si="44"/>
        <v>88</v>
      </c>
      <c r="I109" s="61">
        <f t="shared" si="45"/>
        <v>39</v>
      </c>
      <c r="J109" s="61">
        <f t="shared" si="46"/>
        <v>0</v>
      </c>
      <c r="K109" s="11">
        <f t="shared" si="47"/>
        <v>0.3925619834710744</v>
      </c>
      <c r="L109" s="11">
        <f t="shared" si="48"/>
        <v>0.16848157911421649</v>
      </c>
      <c r="M109" s="11">
        <f t="shared" si="49"/>
        <v>0.47314049586776857</v>
      </c>
      <c r="N109" s="11">
        <f t="shared" si="50"/>
        <v>0.27007585577747606</v>
      </c>
      <c r="O109" s="11">
        <f t="shared" si="51"/>
        <v>0</v>
      </c>
      <c r="P109" s="11">
        <f t="shared" si="52"/>
        <v>0</v>
      </c>
      <c r="Q109" s="20">
        <f t="shared" si="53"/>
        <v>0.43855743489169252</v>
      </c>
      <c r="R109" s="20">
        <f t="shared" si="54"/>
        <v>1</v>
      </c>
      <c r="S109" s="5">
        <f t="shared" si="40"/>
        <v>202.43327965967524</v>
      </c>
      <c r="T109" s="5">
        <f t="shared" si="41"/>
        <v>182.18995169370771</v>
      </c>
      <c r="U109" s="5">
        <f>U108</f>
        <v>199.55486074864615</v>
      </c>
      <c r="V109" s="5">
        <f>V108</f>
        <v>179.59937467378151</v>
      </c>
      <c r="W109" s="62">
        <f t="shared" si="55"/>
        <v>0.86570247933884303</v>
      </c>
    </row>
    <row r="110" spans="2:23" x14ac:dyDescent="0.35">
      <c r="B110">
        <v>89</v>
      </c>
      <c r="C110" s="16" t="str">
        <f t="shared" si="39"/>
        <v>Tue</v>
      </c>
      <c r="D110" s="12">
        <v>44740</v>
      </c>
      <c r="E110">
        <f t="shared" si="56"/>
        <v>94</v>
      </c>
      <c r="F110" s="61">
        <f t="shared" si="42"/>
        <v>242</v>
      </c>
      <c r="G110" s="61">
        <f t="shared" si="43"/>
        <v>51</v>
      </c>
      <c r="H110" s="61">
        <f t="shared" si="44"/>
        <v>89</v>
      </c>
      <c r="I110" s="61">
        <f t="shared" si="45"/>
        <v>40</v>
      </c>
      <c r="J110" s="61">
        <f t="shared" si="46"/>
        <v>0</v>
      </c>
      <c r="K110" s="11">
        <f t="shared" si="47"/>
        <v>0.38842975206611569</v>
      </c>
      <c r="L110" s="11">
        <f t="shared" si="48"/>
        <v>0.16670808880775104</v>
      </c>
      <c r="M110" s="11">
        <f t="shared" si="49"/>
        <v>0.47727272727272729</v>
      </c>
      <c r="N110" s="11">
        <f t="shared" si="50"/>
        <v>0.27243459687596933</v>
      </c>
      <c r="O110" s="11">
        <f t="shared" si="51"/>
        <v>0</v>
      </c>
      <c r="P110" s="11">
        <f t="shared" si="52"/>
        <v>0</v>
      </c>
      <c r="Q110" s="20">
        <f t="shared" si="53"/>
        <v>0.43914268568372039</v>
      </c>
      <c r="R110" s="20">
        <f t="shared" si="54"/>
        <v>0.99999999999999989</v>
      </c>
      <c r="S110" s="5">
        <f t="shared" si="40"/>
        <v>203.00405133265463</v>
      </c>
      <c r="T110" s="5">
        <f t="shared" si="41"/>
        <v>182.70364619938917</v>
      </c>
      <c r="U110" s="5">
        <f>U108</f>
        <v>199.55486074864615</v>
      </c>
      <c r="V110" s="5">
        <f>V108</f>
        <v>179.59937467378151</v>
      </c>
      <c r="W110" s="62">
        <f t="shared" si="55"/>
        <v>0.86570247933884303</v>
      </c>
    </row>
    <row r="111" spans="2:23" x14ac:dyDescent="0.35">
      <c r="B111">
        <v>90</v>
      </c>
      <c r="C111" s="16" t="str">
        <f t="shared" si="39"/>
        <v>Wed</v>
      </c>
      <c r="D111" s="12">
        <v>44741</v>
      </c>
      <c r="E111">
        <f t="shared" si="56"/>
        <v>93</v>
      </c>
      <c r="F111" s="61">
        <f t="shared" si="42"/>
        <v>242</v>
      </c>
      <c r="G111" s="61">
        <f t="shared" si="43"/>
        <v>51</v>
      </c>
      <c r="H111" s="61">
        <f t="shared" si="44"/>
        <v>90</v>
      </c>
      <c r="I111" s="61">
        <f t="shared" si="45"/>
        <v>41</v>
      </c>
      <c r="J111" s="61">
        <f t="shared" si="46"/>
        <v>0</v>
      </c>
      <c r="K111" s="11">
        <f t="shared" si="47"/>
        <v>0.38429752066115702</v>
      </c>
      <c r="L111" s="11">
        <f t="shared" si="48"/>
        <v>0.16493459850128561</v>
      </c>
      <c r="M111" s="11">
        <f t="shared" si="49"/>
        <v>0.48140495867768596</v>
      </c>
      <c r="N111" s="11">
        <f t="shared" si="50"/>
        <v>0.27479333797446259</v>
      </c>
      <c r="O111" s="11">
        <f t="shared" si="51"/>
        <v>0</v>
      </c>
      <c r="P111" s="11">
        <f t="shared" si="52"/>
        <v>0</v>
      </c>
      <c r="Q111" s="20">
        <f t="shared" si="53"/>
        <v>0.4397279364757482</v>
      </c>
      <c r="R111" s="20">
        <f t="shared" si="54"/>
        <v>1</v>
      </c>
      <c r="S111" s="5">
        <f t="shared" si="40"/>
        <v>203.57330368177045</v>
      </c>
      <c r="T111" s="5">
        <f t="shared" si="41"/>
        <v>183.21597331359342</v>
      </c>
      <c r="U111" s="5">
        <f>U108</f>
        <v>199.55486074864615</v>
      </c>
      <c r="V111" s="5">
        <f>V108</f>
        <v>179.59937467378151</v>
      </c>
      <c r="W111" s="62">
        <f t="shared" si="55"/>
        <v>0.86570247933884303</v>
      </c>
    </row>
    <row r="112" spans="2:23" x14ac:dyDescent="0.35">
      <c r="B112">
        <v>91</v>
      </c>
      <c r="C112" s="16" t="str">
        <f t="shared" si="39"/>
        <v>Thu</v>
      </c>
      <c r="D112" s="12">
        <v>44742</v>
      </c>
      <c r="E112">
        <f t="shared" si="56"/>
        <v>92</v>
      </c>
      <c r="F112" s="61">
        <f t="shared" si="42"/>
        <v>242</v>
      </c>
      <c r="G112" s="61">
        <f t="shared" si="43"/>
        <v>51</v>
      </c>
      <c r="H112" s="61">
        <f t="shared" si="44"/>
        <v>91</v>
      </c>
      <c r="I112" s="61">
        <f t="shared" si="45"/>
        <v>42</v>
      </c>
      <c r="J112" s="61">
        <f t="shared" si="46"/>
        <v>0</v>
      </c>
      <c r="K112" s="11">
        <f t="shared" si="47"/>
        <v>0.38016528925619836</v>
      </c>
      <c r="L112" s="11">
        <f t="shared" si="48"/>
        <v>0.16316110819482019</v>
      </c>
      <c r="M112" s="11">
        <f t="shared" si="49"/>
        <v>0.48553719008264462</v>
      </c>
      <c r="N112" s="11">
        <f t="shared" si="50"/>
        <v>0.2771520790729558</v>
      </c>
      <c r="O112" s="11">
        <f t="shared" si="51"/>
        <v>0</v>
      </c>
      <c r="P112" s="11">
        <f t="shared" si="52"/>
        <v>0</v>
      </c>
      <c r="Q112" s="20">
        <f t="shared" si="53"/>
        <v>0.44031318726777602</v>
      </c>
      <c r="R112" s="20">
        <f t="shared" si="54"/>
        <v>1</v>
      </c>
      <c r="S112" s="5">
        <f t="shared" si="40"/>
        <v>204.14104276533885</v>
      </c>
      <c r="T112" s="5">
        <f t="shared" si="41"/>
        <v>183.72693848880496</v>
      </c>
      <c r="U112" s="5">
        <f>U108</f>
        <v>199.55486074864615</v>
      </c>
      <c r="V112" s="5">
        <f>V108</f>
        <v>179.59937467378151</v>
      </c>
      <c r="W112" s="62">
        <f t="shared" si="55"/>
        <v>0.86570247933884303</v>
      </c>
    </row>
    <row r="113" spans="2:23" x14ac:dyDescent="0.35">
      <c r="B113">
        <v>92</v>
      </c>
      <c r="C113" s="16" t="str">
        <f t="shared" si="39"/>
        <v>Fri</v>
      </c>
      <c r="D113" s="12">
        <v>44743</v>
      </c>
      <c r="E113">
        <f t="shared" si="56"/>
        <v>91</v>
      </c>
      <c r="F113" s="61">
        <f t="shared" si="42"/>
        <v>242</v>
      </c>
      <c r="G113" s="61">
        <f t="shared" si="43"/>
        <v>51</v>
      </c>
      <c r="H113" s="61">
        <f t="shared" si="44"/>
        <v>92</v>
      </c>
      <c r="I113" s="61">
        <f t="shared" si="45"/>
        <v>43</v>
      </c>
      <c r="J113" s="61">
        <f t="shared" si="46"/>
        <v>0</v>
      </c>
      <c r="K113" s="11">
        <f t="shared" si="47"/>
        <v>0.37603305785123969</v>
      </c>
      <c r="L113" s="11">
        <f t="shared" si="48"/>
        <v>0.16138761788835476</v>
      </c>
      <c r="M113" s="11">
        <f t="shared" si="49"/>
        <v>0.48966942148760328</v>
      </c>
      <c r="N113" s="11">
        <f t="shared" si="50"/>
        <v>0.27951082017144901</v>
      </c>
      <c r="O113" s="11">
        <f t="shared" si="51"/>
        <v>0</v>
      </c>
      <c r="P113" s="11">
        <f t="shared" si="52"/>
        <v>0</v>
      </c>
      <c r="Q113" s="20">
        <f t="shared" si="53"/>
        <v>0.44089843805980378</v>
      </c>
      <c r="R113" s="20">
        <f t="shared" si="54"/>
        <v>1</v>
      </c>
      <c r="S113" s="5">
        <f t="shared" si="40"/>
        <v>204.70727460950866</v>
      </c>
      <c r="T113" s="5">
        <f t="shared" si="41"/>
        <v>184.2365471485578</v>
      </c>
      <c r="U113" s="5">
        <f>U108</f>
        <v>199.55486074864615</v>
      </c>
      <c r="V113" s="5">
        <f>V108</f>
        <v>179.59937467378151</v>
      </c>
      <c r="W113" s="62">
        <f t="shared" si="55"/>
        <v>0.86570247933884303</v>
      </c>
    </row>
    <row r="114" spans="2:23" x14ac:dyDescent="0.35">
      <c r="B114">
        <v>93</v>
      </c>
      <c r="C114" s="16" t="str">
        <f t="shared" si="39"/>
        <v>Sat</v>
      </c>
      <c r="D114" s="12">
        <v>44744</v>
      </c>
      <c r="E114">
        <f t="shared" si="56"/>
        <v>90</v>
      </c>
      <c r="F114" s="61">
        <f t="shared" si="42"/>
        <v>242</v>
      </c>
      <c r="G114" s="61">
        <f t="shared" si="43"/>
        <v>51</v>
      </c>
      <c r="H114" s="61">
        <f t="shared" si="44"/>
        <v>93</v>
      </c>
      <c r="I114" s="61">
        <f t="shared" si="45"/>
        <v>44</v>
      </c>
      <c r="J114" s="61">
        <f t="shared" si="46"/>
        <v>0</v>
      </c>
      <c r="K114" s="11">
        <f t="shared" si="47"/>
        <v>0.37190082644628097</v>
      </c>
      <c r="L114" s="11">
        <f t="shared" si="48"/>
        <v>0.15961412758188931</v>
      </c>
      <c r="M114" s="11">
        <f t="shared" si="49"/>
        <v>0.493801652892562</v>
      </c>
      <c r="N114" s="11">
        <f t="shared" si="50"/>
        <v>0.28186956126994228</v>
      </c>
      <c r="O114" s="11">
        <f t="shared" si="51"/>
        <v>0</v>
      </c>
      <c r="P114" s="11">
        <f t="shared" si="52"/>
        <v>0</v>
      </c>
      <c r="Q114" s="20">
        <f t="shared" si="53"/>
        <v>0.44148368885183159</v>
      </c>
      <c r="R114" s="20">
        <f t="shared" si="54"/>
        <v>1</v>
      </c>
      <c r="S114" s="5">
        <f t="shared" si="40"/>
        <v>205.27200520847441</v>
      </c>
      <c r="T114" s="5">
        <f t="shared" si="41"/>
        <v>184.74480468762698</v>
      </c>
      <c r="U114" s="5">
        <f>U108</f>
        <v>199.55486074864615</v>
      </c>
      <c r="V114" s="5">
        <f>V108</f>
        <v>179.59937467378151</v>
      </c>
      <c r="W114" s="62">
        <f t="shared" si="55"/>
        <v>0.86570247933884303</v>
      </c>
    </row>
    <row r="115" spans="2:23" x14ac:dyDescent="0.35">
      <c r="B115">
        <v>94</v>
      </c>
      <c r="C115" s="16" t="str">
        <f t="shared" si="39"/>
        <v>Sun</v>
      </c>
      <c r="D115" s="12">
        <v>44745</v>
      </c>
      <c r="E115">
        <f t="shared" si="56"/>
        <v>89</v>
      </c>
      <c r="F115" s="61">
        <f t="shared" si="42"/>
        <v>242</v>
      </c>
      <c r="G115" s="61">
        <f t="shared" si="43"/>
        <v>51</v>
      </c>
      <c r="H115" s="61">
        <f t="shared" si="44"/>
        <v>94</v>
      </c>
      <c r="I115" s="61">
        <f t="shared" si="45"/>
        <v>45</v>
      </c>
      <c r="J115" s="61">
        <f t="shared" si="46"/>
        <v>0</v>
      </c>
      <c r="K115" s="11">
        <f t="shared" si="47"/>
        <v>0.36776859504132231</v>
      </c>
      <c r="L115" s="11">
        <f t="shared" si="48"/>
        <v>0.15784063727542386</v>
      </c>
      <c r="M115" s="11">
        <f t="shared" si="49"/>
        <v>0.49793388429752067</v>
      </c>
      <c r="N115" s="11">
        <f t="shared" si="50"/>
        <v>0.28422830236843555</v>
      </c>
      <c r="O115" s="11">
        <f t="shared" si="51"/>
        <v>0</v>
      </c>
      <c r="P115" s="11">
        <f t="shared" si="52"/>
        <v>0</v>
      </c>
      <c r="Q115" s="20">
        <f t="shared" si="53"/>
        <v>0.4420689396438594</v>
      </c>
      <c r="R115" s="20">
        <f t="shared" si="54"/>
        <v>1</v>
      </c>
      <c r="S115" s="5">
        <f t="shared" si="40"/>
        <v>205.83524052468812</v>
      </c>
      <c r="T115" s="5">
        <f t="shared" si="41"/>
        <v>185.2517164722193</v>
      </c>
      <c r="U115" s="5">
        <f>AVERAGE(S109:S113)</f>
        <v>203.57179040978957</v>
      </c>
      <c r="V115" s="5">
        <f>AVERAGE(T109:T113)</f>
        <v>183.21461136881061</v>
      </c>
      <c r="W115" s="62">
        <f t="shared" si="55"/>
        <v>0.86570247933884303</v>
      </c>
    </row>
    <row r="116" spans="2:23" x14ac:dyDescent="0.35">
      <c r="B116">
        <v>95</v>
      </c>
      <c r="C116" s="16" t="str">
        <f t="shared" si="39"/>
        <v>Mon</v>
      </c>
      <c r="D116" s="12">
        <v>44746</v>
      </c>
      <c r="E116">
        <f t="shared" si="56"/>
        <v>88</v>
      </c>
      <c r="F116" s="61">
        <f t="shared" si="42"/>
        <v>242</v>
      </c>
      <c r="G116" s="61">
        <f t="shared" si="43"/>
        <v>51</v>
      </c>
      <c r="H116" s="61">
        <f t="shared" si="44"/>
        <v>95</v>
      </c>
      <c r="I116" s="61">
        <f t="shared" si="45"/>
        <v>46</v>
      </c>
      <c r="J116" s="61">
        <f t="shared" si="46"/>
        <v>0</v>
      </c>
      <c r="K116" s="11">
        <f t="shared" si="47"/>
        <v>0.36363636363636365</v>
      </c>
      <c r="L116" s="11">
        <f t="shared" si="48"/>
        <v>0.15606714696895843</v>
      </c>
      <c r="M116" s="11">
        <f t="shared" si="49"/>
        <v>0.50206611570247939</v>
      </c>
      <c r="N116" s="11">
        <f t="shared" si="50"/>
        <v>0.28658704346692881</v>
      </c>
      <c r="O116" s="11">
        <f t="shared" si="51"/>
        <v>0</v>
      </c>
      <c r="P116" s="11">
        <f t="shared" si="52"/>
        <v>0</v>
      </c>
      <c r="Q116" s="20">
        <f t="shared" si="53"/>
        <v>0.44265419043588727</v>
      </c>
      <c r="R116" s="20">
        <f t="shared" si="54"/>
        <v>1</v>
      </c>
      <c r="S116" s="5">
        <f t="shared" si="40"/>
        <v>206.39698648906901</v>
      </c>
      <c r="T116" s="5">
        <f t="shared" si="41"/>
        <v>185.75728784016212</v>
      </c>
      <c r="U116" s="5">
        <f>U115</f>
        <v>203.57179040978957</v>
      </c>
      <c r="V116" s="5">
        <f>V115</f>
        <v>183.21461136881061</v>
      </c>
      <c r="W116" s="62">
        <f t="shared" si="55"/>
        <v>0.86570247933884303</v>
      </c>
    </row>
    <row r="117" spans="2:23" x14ac:dyDescent="0.35">
      <c r="B117">
        <v>96</v>
      </c>
      <c r="C117" s="16" t="str">
        <f t="shared" si="39"/>
        <v>Tue</v>
      </c>
      <c r="D117" s="12">
        <v>44747</v>
      </c>
      <c r="E117">
        <f t="shared" si="56"/>
        <v>87</v>
      </c>
      <c r="F117" s="61">
        <f t="shared" si="42"/>
        <v>242</v>
      </c>
      <c r="G117" s="61">
        <f t="shared" si="43"/>
        <v>51</v>
      </c>
      <c r="H117" s="61">
        <f t="shared" si="44"/>
        <v>96</v>
      </c>
      <c r="I117" s="61">
        <f t="shared" si="45"/>
        <v>47</v>
      </c>
      <c r="J117" s="61">
        <f t="shared" si="46"/>
        <v>0</v>
      </c>
      <c r="K117" s="11">
        <f t="shared" si="47"/>
        <v>0.35950413223140498</v>
      </c>
      <c r="L117" s="11">
        <f t="shared" si="48"/>
        <v>0.15429365666249301</v>
      </c>
      <c r="M117" s="11">
        <f t="shared" si="49"/>
        <v>0.50619834710743805</v>
      </c>
      <c r="N117" s="11">
        <f t="shared" si="50"/>
        <v>0.28894578456542203</v>
      </c>
      <c r="O117" s="11">
        <f t="shared" si="51"/>
        <v>0</v>
      </c>
      <c r="P117" s="11">
        <f t="shared" si="52"/>
        <v>0</v>
      </c>
      <c r="Q117" s="20">
        <f t="shared" si="53"/>
        <v>0.44323944122791503</v>
      </c>
      <c r="R117" s="20">
        <f t="shared" si="54"/>
        <v>1</v>
      </c>
      <c r="S117" s="5">
        <f t="shared" si="40"/>
        <v>206.95724900121175</v>
      </c>
      <c r="T117" s="5">
        <f t="shared" si="41"/>
        <v>186.26152410109057</v>
      </c>
      <c r="U117" s="5">
        <f>U115</f>
        <v>203.57179040978957</v>
      </c>
      <c r="V117" s="5">
        <f>V115</f>
        <v>183.21461136881061</v>
      </c>
      <c r="W117" s="62">
        <f t="shared" si="55"/>
        <v>0.86570247933884303</v>
      </c>
    </row>
    <row r="118" spans="2:23" x14ac:dyDescent="0.35">
      <c r="B118">
        <v>97</v>
      </c>
      <c r="C118" s="16" t="str">
        <f t="shared" ref="C118:C149" si="57">TEXT(D118,"ddd")</f>
        <v>Wed</v>
      </c>
      <c r="D118" s="12">
        <v>44748</v>
      </c>
      <c r="E118">
        <f t="shared" si="56"/>
        <v>86</v>
      </c>
      <c r="F118" s="61">
        <f t="shared" si="42"/>
        <v>242</v>
      </c>
      <c r="G118" s="61">
        <f t="shared" si="43"/>
        <v>51</v>
      </c>
      <c r="H118" s="61">
        <f t="shared" si="44"/>
        <v>97</v>
      </c>
      <c r="I118" s="61">
        <f t="shared" si="45"/>
        <v>48</v>
      </c>
      <c r="J118" s="61">
        <f t="shared" si="46"/>
        <v>0</v>
      </c>
      <c r="K118" s="11">
        <f t="shared" si="47"/>
        <v>0.35537190082644626</v>
      </c>
      <c r="L118" s="11">
        <f t="shared" si="48"/>
        <v>0.15252016635602755</v>
      </c>
      <c r="M118" s="11">
        <f t="shared" si="49"/>
        <v>0.51033057851239672</v>
      </c>
      <c r="N118" s="11">
        <f t="shared" si="50"/>
        <v>0.29130452566391529</v>
      </c>
      <c r="O118" s="11">
        <f t="shared" si="51"/>
        <v>0</v>
      </c>
      <c r="P118" s="11">
        <f t="shared" si="52"/>
        <v>0</v>
      </c>
      <c r="Q118" s="20">
        <f t="shared" si="53"/>
        <v>0.44382469201994285</v>
      </c>
      <c r="R118" s="20">
        <f t="shared" si="54"/>
        <v>1</v>
      </c>
      <c r="S118" s="5">
        <f t="shared" ref="S118:S149" si="58">((PCc*L118)+(PCn*N118)+(PCn_2*P118))/(L118+N118+P118)</f>
        <v>207.51603392959282</v>
      </c>
      <c r="T118" s="5">
        <f t="shared" ref="T118:T149" si="59">S118*LSLT</f>
        <v>186.76443053663354</v>
      </c>
      <c r="U118" s="5">
        <f>U115</f>
        <v>203.57179040978957</v>
      </c>
      <c r="V118" s="5">
        <f>V115</f>
        <v>183.21461136881061</v>
      </c>
      <c r="W118" s="62">
        <f t="shared" si="55"/>
        <v>0.86570247933884303</v>
      </c>
    </row>
    <row r="119" spans="2:23" x14ac:dyDescent="0.35">
      <c r="B119">
        <v>98</v>
      </c>
      <c r="C119" s="16" t="str">
        <f t="shared" si="57"/>
        <v>Thu</v>
      </c>
      <c r="D119" s="12">
        <v>44749</v>
      </c>
      <c r="E119">
        <f t="shared" si="56"/>
        <v>85</v>
      </c>
      <c r="F119" s="61">
        <f t="shared" si="42"/>
        <v>242</v>
      </c>
      <c r="G119" s="61">
        <f t="shared" si="43"/>
        <v>51</v>
      </c>
      <c r="H119" s="61">
        <f t="shared" si="44"/>
        <v>98</v>
      </c>
      <c r="I119" s="61">
        <f t="shared" si="45"/>
        <v>49</v>
      </c>
      <c r="J119" s="61">
        <f t="shared" si="46"/>
        <v>0</v>
      </c>
      <c r="K119" s="11">
        <f t="shared" si="47"/>
        <v>0.3512396694214876</v>
      </c>
      <c r="L119" s="11">
        <f t="shared" si="48"/>
        <v>0.15074667604956213</v>
      </c>
      <c r="M119" s="11">
        <f t="shared" si="49"/>
        <v>0.51446280991735538</v>
      </c>
      <c r="N119" s="11">
        <f t="shared" si="50"/>
        <v>0.2936632667624085</v>
      </c>
      <c r="O119" s="11">
        <f t="shared" si="51"/>
        <v>0</v>
      </c>
      <c r="P119" s="11">
        <f t="shared" si="52"/>
        <v>0</v>
      </c>
      <c r="Q119" s="20">
        <f t="shared" si="53"/>
        <v>0.44440994281197066</v>
      </c>
      <c r="R119" s="20">
        <f t="shared" si="54"/>
        <v>1</v>
      </c>
      <c r="S119" s="5">
        <f t="shared" si="58"/>
        <v>208.07334711177555</v>
      </c>
      <c r="T119" s="5">
        <f t="shared" si="59"/>
        <v>187.26601240059799</v>
      </c>
      <c r="U119" s="5">
        <f>U115</f>
        <v>203.57179040978957</v>
      </c>
      <c r="V119" s="5">
        <f>V115</f>
        <v>183.21461136881061</v>
      </c>
      <c r="W119" s="62">
        <f t="shared" si="55"/>
        <v>0.86570247933884303</v>
      </c>
    </row>
    <row r="120" spans="2:23" x14ac:dyDescent="0.35">
      <c r="B120">
        <v>99</v>
      </c>
      <c r="C120" s="16" t="str">
        <f t="shared" si="57"/>
        <v>Fri</v>
      </c>
      <c r="D120" s="12">
        <v>44750</v>
      </c>
      <c r="E120">
        <f t="shared" si="56"/>
        <v>84</v>
      </c>
      <c r="F120" s="61">
        <f t="shared" si="42"/>
        <v>242</v>
      </c>
      <c r="G120" s="61">
        <f t="shared" si="43"/>
        <v>51</v>
      </c>
      <c r="H120" s="61">
        <f t="shared" si="44"/>
        <v>99</v>
      </c>
      <c r="I120" s="61">
        <f t="shared" si="45"/>
        <v>50</v>
      </c>
      <c r="J120" s="61">
        <f t="shared" si="46"/>
        <v>0</v>
      </c>
      <c r="K120" s="11">
        <f t="shared" si="47"/>
        <v>0.34710743801652894</v>
      </c>
      <c r="L120" s="11">
        <f t="shared" si="48"/>
        <v>0.1489731857430967</v>
      </c>
      <c r="M120" s="11">
        <f t="shared" si="49"/>
        <v>0.51859504132231404</v>
      </c>
      <c r="N120" s="11">
        <f t="shared" si="50"/>
        <v>0.29602200786090171</v>
      </c>
      <c r="O120" s="11">
        <f t="shared" si="51"/>
        <v>0</v>
      </c>
      <c r="P120" s="11">
        <f t="shared" si="52"/>
        <v>0</v>
      </c>
      <c r="Q120" s="20">
        <f t="shared" si="53"/>
        <v>0.44499519360399842</v>
      </c>
      <c r="R120" s="20">
        <f t="shared" si="54"/>
        <v>1</v>
      </c>
      <c r="S120" s="5">
        <f t="shared" si="58"/>
        <v>208.62919435461353</v>
      </c>
      <c r="T120" s="5">
        <f t="shared" si="59"/>
        <v>187.76627491915218</v>
      </c>
      <c r="U120" s="5">
        <f>U115</f>
        <v>203.57179040978957</v>
      </c>
      <c r="V120" s="5">
        <f>V115</f>
        <v>183.21461136881061</v>
      </c>
      <c r="W120" s="62">
        <f t="shared" si="55"/>
        <v>0.86570247933884303</v>
      </c>
    </row>
    <row r="121" spans="2:23" x14ac:dyDescent="0.35">
      <c r="B121">
        <v>100</v>
      </c>
      <c r="C121" s="16" t="str">
        <f t="shared" si="57"/>
        <v>Sat</v>
      </c>
      <c r="D121" s="12">
        <v>44751</v>
      </c>
      <c r="E121">
        <f t="shared" si="56"/>
        <v>83</v>
      </c>
      <c r="F121" s="61">
        <f t="shared" si="42"/>
        <v>242</v>
      </c>
      <c r="G121" s="61">
        <f t="shared" si="43"/>
        <v>51</v>
      </c>
      <c r="H121" s="61">
        <f t="shared" si="44"/>
        <v>100</v>
      </c>
      <c r="I121" s="61">
        <f t="shared" si="45"/>
        <v>51</v>
      </c>
      <c r="J121" s="61">
        <f t="shared" si="46"/>
        <v>0</v>
      </c>
      <c r="K121" s="11">
        <f t="shared" si="47"/>
        <v>0.34297520661157027</v>
      </c>
      <c r="L121" s="11">
        <f t="shared" si="48"/>
        <v>0.14719969543663125</v>
      </c>
      <c r="M121" s="11">
        <f t="shared" si="49"/>
        <v>0.52272727272727271</v>
      </c>
      <c r="N121" s="11">
        <f t="shared" si="50"/>
        <v>0.29838074895939498</v>
      </c>
      <c r="O121" s="11">
        <f t="shared" si="51"/>
        <v>0</v>
      </c>
      <c r="P121" s="11">
        <f t="shared" si="52"/>
        <v>0</v>
      </c>
      <c r="Q121" s="20">
        <f t="shared" si="53"/>
        <v>0.44558044439602623</v>
      </c>
      <c r="R121" s="20">
        <f t="shared" si="54"/>
        <v>1</v>
      </c>
      <c r="S121" s="5">
        <f t="shared" si="58"/>
        <v>209.18358143445195</v>
      </c>
      <c r="T121" s="5">
        <f t="shared" si="59"/>
        <v>188.26522329100675</v>
      </c>
      <c r="U121" s="5">
        <f>U115</f>
        <v>203.57179040978957</v>
      </c>
      <c r="V121" s="5">
        <f>V115</f>
        <v>183.21461136881061</v>
      </c>
      <c r="W121" s="62">
        <f t="shared" si="55"/>
        <v>0.86570247933884303</v>
      </c>
    </row>
    <row r="122" spans="2:23" x14ac:dyDescent="0.35">
      <c r="B122">
        <v>101</v>
      </c>
      <c r="C122" s="16" t="str">
        <f t="shared" si="57"/>
        <v>Sun</v>
      </c>
      <c r="D122" s="12">
        <v>44752</v>
      </c>
      <c r="E122">
        <f t="shared" ref="E122:E153" si="60">$AH$13-D122</f>
        <v>82</v>
      </c>
      <c r="F122" s="61">
        <f t="shared" si="42"/>
        <v>242</v>
      </c>
      <c r="G122" s="61">
        <f t="shared" si="43"/>
        <v>51</v>
      </c>
      <c r="H122" s="61">
        <f t="shared" si="44"/>
        <v>101</v>
      </c>
      <c r="I122" s="61">
        <f t="shared" si="45"/>
        <v>52</v>
      </c>
      <c r="J122" s="61">
        <f t="shared" si="46"/>
        <v>0</v>
      </c>
      <c r="K122" s="11">
        <f t="shared" si="47"/>
        <v>0.33884297520661155</v>
      </c>
      <c r="L122" s="11">
        <f t="shared" si="48"/>
        <v>0.1454262051301658</v>
      </c>
      <c r="M122" s="11">
        <f t="shared" si="49"/>
        <v>0.52685950413223137</v>
      </c>
      <c r="N122" s="11">
        <f t="shared" si="50"/>
        <v>0.30073949005788819</v>
      </c>
      <c r="O122" s="11">
        <f t="shared" si="51"/>
        <v>0</v>
      </c>
      <c r="P122" s="11">
        <f t="shared" si="52"/>
        <v>0</v>
      </c>
      <c r="Q122" s="20">
        <f t="shared" si="53"/>
        <v>0.44616569518805399</v>
      </c>
      <c r="R122" s="20">
        <f t="shared" si="54"/>
        <v>1</v>
      </c>
      <c r="S122" s="5">
        <f t="shared" si="58"/>
        <v>209.73651409732793</v>
      </c>
      <c r="T122" s="5">
        <f t="shared" si="59"/>
        <v>188.76286268759515</v>
      </c>
      <c r="U122" s="5">
        <f>AVERAGE(S116:S120)</f>
        <v>207.51456217725254</v>
      </c>
      <c r="V122" s="5">
        <f>AVERAGE(T116:T120)</f>
        <v>186.76310595952728</v>
      </c>
      <c r="W122" s="62">
        <f t="shared" si="55"/>
        <v>0.86570247933884292</v>
      </c>
    </row>
    <row r="123" spans="2:23" x14ac:dyDescent="0.35">
      <c r="B123">
        <v>102</v>
      </c>
      <c r="C123" s="16" t="str">
        <f t="shared" si="57"/>
        <v>Mon</v>
      </c>
      <c r="D123" s="12">
        <v>44753</v>
      </c>
      <c r="E123">
        <f t="shared" si="60"/>
        <v>81</v>
      </c>
      <c r="F123" s="61">
        <f t="shared" si="42"/>
        <v>242</v>
      </c>
      <c r="G123" s="61">
        <f t="shared" si="43"/>
        <v>51</v>
      </c>
      <c r="H123" s="61">
        <f t="shared" si="44"/>
        <v>102</v>
      </c>
      <c r="I123" s="61">
        <f t="shared" si="45"/>
        <v>53</v>
      </c>
      <c r="J123" s="61">
        <f t="shared" si="46"/>
        <v>0</v>
      </c>
      <c r="K123" s="11">
        <f t="shared" si="47"/>
        <v>0.33471074380165289</v>
      </c>
      <c r="L123" s="11">
        <f t="shared" si="48"/>
        <v>0.14365271482370037</v>
      </c>
      <c r="M123" s="11">
        <f t="shared" si="49"/>
        <v>0.53099173553719003</v>
      </c>
      <c r="N123" s="11">
        <f t="shared" si="50"/>
        <v>0.30309823115638146</v>
      </c>
      <c r="O123" s="11">
        <f t="shared" si="51"/>
        <v>0</v>
      </c>
      <c r="P123" s="11">
        <f t="shared" si="52"/>
        <v>0</v>
      </c>
      <c r="Q123" s="20">
        <f t="shared" si="53"/>
        <v>0.4467509459800818</v>
      </c>
      <c r="R123" s="20">
        <f t="shared" si="54"/>
        <v>1</v>
      </c>
      <c r="S123" s="5">
        <f t="shared" si="58"/>
        <v>210.28799805916901</v>
      </c>
      <c r="T123" s="5">
        <f t="shared" si="59"/>
        <v>189.25919825325212</v>
      </c>
      <c r="U123" s="5">
        <f>U122</f>
        <v>207.51456217725254</v>
      </c>
      <c r="V123" s="5">
        <f>V122</f>
        <v>186.76310595952728</v>
      </c>
      <c r="W123" s="62">
        <f t="shared" si="55"/>
        <v>0.86570247933884292</v>
      </c>
    </row>
    <row r="124" spans="2:23" x14ac:dyDescent="0.35">
      <c r="B124">
        <v>103</v>
      </c>
      <c r="C124" s="16" t="str">
        <f t="shared" si="57"/>
        <v>Tue</v>
      </c>
      <c r="D124" s="12">
        <v>44754</v>
      </c>
      <c r="E124">
        <f t="shared" si="60"/>
        <v>80</v>
      </c>
      <c r="F124" s="61">
        <f t="shared" si="42"/>
        <v>242</v>
      </c>
      <c r="G124" s="61">
        <f t="shared" si="43"/>
        <v>51</v>
      </c>
      <c r="H124" s="61">
        <f t="shared" si="44"/>
        <v>103</v>
      </c>
      <c r="I124" s="61">
        <f t="shared" si="45"/>
        <v>54</v>
      </c>
      <c r="J124" s="61">
        <f t="shared" si="46"/>
        <v>0</v>
      </c>
      <c r="K124" s="11">
        <f t="shared" si="47"/>
        <v>0.33057851239669422</v>
      </c>
      <c r="L124" s="11">
        <f t="shared" si="48"/>
        <v>0.14187922451723495</v>
      </c>
      <c r="M124" s="11">
        <f t="shared" si="49"/>
        <v>0.53512396694214881</v>
      </c>
      <c r="N124" s="11">
        <f t="shared" si="50"/>
        <v>0.30545697225487473</v>
      </c>
      <c r="O124" s="11">
        <f t="shared" si="51"/>
        <v>0</v>
      </c>
      <c r="P124" s="11">
        <f t="shared" si="52"/>
        <v>0</v>
      </c>
      <c r="Q124" s="20">
        <f t="shared" si="53"/>
        <v>0.44733619677210967</v>
      </c>
      <c r="R124" s="20">
        <f t="shared" si="54"/>
        <v>1</v>
      </c>
      <c r="S124" s="5">
        <f t="shared" si="58"/>
        <v>210.8380390059902</v>
      </c>
      <c r="T124" s="5">
        <f t="shared" si="59"/>
        <v>189.75423510539119</v>
      </c>
      <c r="U124" s="5">
        <f>U122</f>
        <v>207.51456217725254</v>
      </c>
      <c r="V124" s="5">
        <f>V122</f>
        <v>186.76310595952728</v>
      </c>
      <c r="W124" s="62">
        <f t="shared" si="55"/>
        <v>0.86570247933884303</v>
      </c>
    </row>
    <row r="125" spans="2:23" x14ac:dyDescent="0.35">
      <c r="B125">
        <v>104</v>
      </c>
      <c r="C125" s="16" t="str">
        <f t="shared" si="57"/>
        <v>Wed</v>
      </c>
      <c r="D125" s="12">
        <v>44755</v>
      </c>
      <c r="E125">
        <f t="shared" si="60"/>
        <v>79</v>
      </c>
      <c r="F125" s="61">
        <f t="shared" si="42"/>
        <v>242</v>
      </c>
      <c r="G125" s="61">
        <f t="shared" si="43"/>
        <v>51</v>
      </c>
      <c r="H125" s="61">
        <f t="shared" si="44"/>
        <v>104</v>
      </c>
      <c r="I125" s="61">
        <f t="shared" si="45"/>
        <v>55</v>
      </c>
      <c r="J125" s="61">
        <f t="shared" si="46"/>
        <v>0</v>
      </c>
      <c r="K125" s="11">
        <f t="shared" si="47"/>
        <v>0.32644628099173556</v>
      </c>
      <c r="L125" s="11">
        <f t="shared" si="48"/>
        <v>0.14010573421076952</v>
      </c>
      <c r="M125" s="11">
        <f t="shared" si="49"/>
        <v>0.53925619834710747</v>
      </c>
      <c r="N125" s="11">
        <f t="shared" si="50"/>
        <v>0.30781571335336794</v>
      </c>
      <c r="O125" s="11">
        <f t="shared" si="51"/>
        <v>0</v>
      </c>
      <c r="P125" s="11">
        <f t="shared" si="52"/>
        <v>0</v>
      </c>
      <c r="Q125" s="20">
        <f t="shared" si="53"/>
        <v>0.44792144756413743</v>
      </c>
      <c r="R125" s="20">
        <f t="shared" si="54"/>
        <v>1</v>
      </c>
      <c r="S125" s="5">
        <f t="shared" si="58"/>
        <v>211.38664259408904</v>
      </c>
      <c r="T125" s="5">
        <f t="shared" si="59"/>
        <v>190.24797833468014</v>
      </c>
      <c r="U125" s="5">
        <f>U122</f>
        <v>207.51456217725254</v>
      </c>
      <c r="V125" s="5">
        <f>V122</f>
        <v>186.76310595952728</v>
      </c>
      <c r="W125" s="62">
        <f t="shared" si="55"/>
        <v>0.86570247933884303</v>
      </c>
    </row>
    <row r="126" spans="2:23" x14ac:dyDescent="0.35">
      <c r="B126">
        <v>105</v>
      </c>
      <c r="C126" s="16" t="str">
        <f t="shared" si="57"/>
        <v>Thu</v>
      </c>
      <c r="D126" s="12">
        <v>44756</v>
      </c>
      <c r="E126">
        <f t="shared" si="60"/>
        <v>78</v>
      </c>
      <c r="F126" s="61">
        <f t="shared" si="42"/>
        <v>242</v>
      </c>
      <c r="G126" s="61">
        <f t="shared" si="43"/>
        <v>51</v>
      </c>
      <c r="H126" s="61">
        <f t="shared" si="44"/>
        <v>105</v>
      </c>
      <c r="I126" s="61">
        <f t="shared" si="45"/>
        <v>56</v>
      </c>
      <c r="J126" s="61">
        <f t="shared" si="46"/>
        <v>0</v>
      </c>
      <c r="K126" s="11">
        <f t="shared" si="47"/>
        <v>0.32231404958677684</v>
      </c>
      <c r="L126" s="11">
        <f t="shared" si="48"/>
        <v>0.13833224390430407</v>
      </c>
      <c r="M126" s="11">
        <f t="shared" si="49"/>
        <v>0.54338842975206614</v>
      </c>
      <c r="N126" s="11">
        <f t="shared" si="50"/>
        <v>0.3101744544518612</v>
      </c>
      <c r="O126" s="11">
        <f t="shared" si="51"/>
        <v>0</v>
      </c>
      <c r="P126" s="11">
        <f t="shared" si="52"/>
        <v>0</v>
      </c>
      <c r="Q126" s="20">
        <f t="shared" si="53"/>
        <v>0.4485066983561653</v>
      </c>
      <c r="R126" s="20">
        <f t="shared" si="54"/>
        <v>1</v>
      </c>
      <c r="S126" s="5">
        <f t="shared" si="58"/>
        <v>211.93381445023996</v>
      </c>
      <c r="T126" s="5">
        <f t="shared" si="59"/>
        <v>190.74043300521598</v>
      </c>
      <c r="U126" s="5">
        <f>U122</f>
        <v>207.51456217725254</v>
      </c>
      <c r="V126" s="5">
        <f>V122</f>
        <v>186.76310595952728</v>
      </c>
      <c r="W126" s="62">
        <f t="shared" si="55"/>
        <v>0.86570247933884303</v>
      </c>
    </row>
    <row r="127" spans="2:23" x14ac:dyDescent="0.35">
      <c r="B127">
        <v>106</v>
      </c>
      <c r="C127" s="16" t="str">
        <f t="shared" si="57"/>
        <v>Fri</v>
      </c>
      <c r="D127" s="12">
        <v>44757</v>
      </c>
      <c r="E127">
        <f t="shared" si="60"/>
        <v>77</v>
      </c>
      <c r="F127" s="61">
        <f t="shared" si="42"/>
        <v>242</v>
      </c>
      <c r="G127" s="61">
        <f t="shared" si="43"/>
        <v>51</v>
      </c>
      <c r="H127" s="61">
        <f t="shared" si="44"/>
        <v>106</v>
      </c>
      <c r="I127" s="61">
        <f t="shared" si="45"/>
        <v>57</v>
      </c>
      <c r="J127" s="61">
        <f t="shared" si="46"/>
        <v>0</v>
      </c>
      <c r="K127" s="11">
        <f t="shared" si="47"/>
        <v>0.31818181818181818</v>
      </c>
      <c r="L127" s="11">
        <f t="shared" si="48"/>
        <v>0.13655875359783862</v>
      </c>
      <c r="M127" s="11">
        <f t="shared" si="49"/>
        <v>0.5475206611570248</v>
      </c>
      <c r="N127" s="11">
        <f t="shared" si="50"/>
        <v>0.31253319555035441</v>
      </c>
      <c r="O127" s="11">
        <f t="shared" si="51"/>
        <v>0</v>
      </c>
      <c r="P127" s="11">
        <f t="shared" si="52"/>
        <v>0</v>
      </c>
      <c r="Q127" s="20">
        <f t="shared" si="53"/>
        <v>0.44909194914819306</v>
      </c>
      <c r="R127" s="20">
        <f t="shared" si="54"/>
        <v>1</v>
      </c>
      <c r="S127" s="5">
        <f t="shared" si="58"/>
        <v>212.47956017188642</v>
      </c>
      <c r="T127" s="5">
        <f t="shared" si="59"/>
        <v>191.23160415469778</v>
      </c>
      <c r="U127" s="5">
        <f>U122</f>
        <v>207.51456217725254</v>
      </c>
      <c r="V127" s="5">
        <f>V122</f>
        <v>186.76310595952728</v>
      </c>
      <c r="W127" s="62">
        <f t="shared" si="55"/>
        <v>0.86570247933884303</v>
      </c>
    </row>
    <row r="128" spans="2:23" x14ac:dyDescent="0.35">
      <c r="B128">
        <v>107</v>
      </c>
      <c r="C128" s="16" t="str">
        <f t="shared" si="57"/>
        <v>Sat</v>
      </c>
      <c r="D128" s="12">
        <v>44758</v>
      </c>
      <c r="E128">
        <f t="shared" si="60"/>
        <v>76</v>
      </c>
      <c r="F128" s="61">
        <f t="shared" si="42"/>
        <v>242</v>
      </c>
      <c r="G128" s="61">
        <f t="shared" si="43"/>
        <v>51</v>
      </c>
      <c r="H128" s="61">
        <f t="shared" si="44"/>
        <v>107</v>
      </c>
      <c r="I128" s="61">
        <f t="shared" si="45"/>
        <v>58</v>
      </c>
      <c r="J128" s="61">
        <f t="shared" si="46"/>
        <v>0</v>
      </c>
      <c r="K128" s="11">
        <f t="shared" si="47"/>
        <v>0.31404958677685951</v>
      </c>
      <c r="L128" s="11">
        <f t="shared" si="48"/>
        <v>0.13478526329137319</v>
      </c>
      <c r="M128" s="11">
        <f t="shared" si="49"/>
        <v>0.55165289256198347</v>
      </c>
      <c r="N128" s="11">
        <f t="shared" si="50"/>
        <v>0.31489193664884768</v>
      </c>
      <c r="O128" s="11">
        <f t="shared" si="51"/>
        <v>0</v>
      </c>
      <c r="P128" s="11">
        <f t="shared" si="52"/>
        <v>0</v>
      </c>
      <c r="Q128" s="20">
        <f t="shared" si="53"/>
        <v>0.44967719994022087</v>
      </c>
      <c r="R128" s="20">
        <f t="shared" si="54"/>
        <v>1</v>
      </c>
      <c r="S128" s="5">
        <f t="shared" si="58"/>
        <v>213.0238853273317</v>
      </c>
      <c r="T128" s="5">
        <f t="shared" si="59"/>
        <v>191.72149679459852</v>
      </c>
      <c r="U128" s="5">
        <f>U122</f>
        <v>207.51456217725254</v>
      </c>
      <c r="V128" s="5">
        <f>V122</f>
        <v>186.76310595952728</v>
      </c>
      <c r="W128" s="62">
        <f t="shared" si="55"/>
        <v>0.86570247933884303</v>
      </c>
    </row>
    <row r="129" spans="2:23" x14ac:dyDescent="0.35">
      <c r="B129">
        <v>108</v>
      </c>
      <c r="C129" s="16" t="str">
        <f t="shared" si="57"/>
        <v>Sun</v>
      </c>
      <c r="D129" s="12">
        <v>44759</v>
      </c>
      <c r="E129">
        <f t="shared" si="60"/>
        <v>75</v>
      </c>
      <c r="F129" s="61">
        <f t="shared" si="42"/>
        <v>242</v>
      </c>
      <c r="G129" s="61">
        <f t="shared" si="43"/>
        <v>51</v>
      </c>
      <c r="H129" s="61">
        <f t="shared" si="44"/>
        <v>108</v>
      </c>
      <c r="I129" s="61">
        <f t="shared" si="45"/>
        <v>59</v>
      </c>
      <c r="J129" s="61">
        <f t="shared" si="46"/>
        <v>0</v>
      </c>
      <c r="K129" s="11">
        <f t="shared" si="47"/>
        <v>0.30991735537190085</v>
      </c>
      <c r="L129" s="11">
        <f t="shared" si="48"/>
        <v>0.13301177298490777</v>
      </c>
      <c r="M129" s="11">
        <f t="shared" si="49"/>
        <v>0.55578512396694213</v>
      </c>
      <c r="N129" s="11">
        <f t="shared" si="50"/>
        <v>0.31725067774734089</v>
      </c>
      <c r="O129" s="11">
        <f t="shared" si="51"/>
        <v>0</v>
      </c>
      <c r="P129" s="11">
        <f t="shared" si="52"/>
        <v>0</v>
      </c>
      <c r="Q129" s="20">
        <f t="shared" si="53"/>
        <v>0.45026245073224869</v>
      </c>
      <c r="R129" s="20">
        <f t="shared" si="54"/>
        <v>1</v>
      </c>
      <c r="S129" s="5">
        <f t="shared" si="58"/>
        <v>213.56679545592837</v>
      </c>
      <c r="T129" s="5">
        <f t="shared" si="59"/>
        <v>192.21011591033553</v>
      </c>
      <c r="U129" s="5">
        <f>AVERAGE(S123:S127)</f>
        <v>211.38521085627494</v>
      </c>
      <c r="V129" s="5">
        <f>AVERAGE(T123:T127)</f>
        <v>190.24668977064744</v>
      </c>
      <c r="W129" s="62">
        <f t="shared" si="55"/>
        <v>0.86570247933884303</v>
      </c>
    </row>
    <row r="130" spans="2:23" x14ac:dyDescent="0.35">
      <c r="B130">
        <v>109</v>
      </c>
      <c r="C130" s="16" t="str">
        <f t="shared" si="57"/>
        <v>Mon</v>
      </c>
      <c r="D130" s="12">
        <v>44760</v>
      </c>
      <c r="E130">
        <f t="shared" si="60"/>
        <v>74</v>
      </c>
      <c r="F130" s="61">
        <f t="shared" si="42"/>
        <v>242</v>
      </c>
      <c r="G130" s="61">
        <f t="shared" si="43"/>
        <v>51</v>
      </c>
      <c r="H130" s="61">
        <f t="shared" si="44"/>
        <v>109</v>
      </c>
      <c r="I130" s="61">
        <f t="shared" si="45"/>
        <v>60</v>
      </c>
      <c r="J130" s="61">
        <f t="shared" si="46"/>
        <v>0</v>
      </c>
      <c r="K130" s="11">
        <f t="shared" si="47"/>
        <v>0.30578512396694213</v>
      </c>
      <c r="L130" s="11">
        <f t="shared" si="48"/>
        <v>0.13123828267844231</v>
      </c>
      <c r="M130" s="11">
        <f t="shared" si="49"/>
        <v>0.55991735537190079</v>
      </c>
      <c r="N130" s="11">
        <f t="shared" si="50"/>
        <v>0.3196094188458341</v>
      </c>
      <c r="O130" s="11">
        <f t="shared" si="51"/>
        <v>0</v>
      </c>
      <c r="P130" s="11">
        <f t="shared" si="52"/>
        <v>0</v>
      </c>
      <c r="Q130" s="20">
        <f t="shared" si="53"/>
        <v>0.45084770152427645</v>
      </c>
      <c r="R130" s="20">
        <f t="shared" si="54"/>
        <v>1</v>
      </c>
      <c r="S130" s="5">
        <f t="shared" si="58"/>
        <v>214.10829606826627</v>
      </c>
      <c r="T130" s="5">
        <f t="shared" si="59"/>
        <v>192.69746646143966</v>
      </c>
      <c r="U130" s="5">
        <f>U129</f>
        <v>211.38521085627494</v>
      </c>
      <c r="V130" s="5">
        <f>V129</f>
        <v>190.24668977064744</v>
      </c>
      <c r="W130" s="62">
        <f t="shared" si="55"/>
        <v>0.86570247933884292</v>
      </c>
    </row>
    <row r="131" spans="2:23" x14ac:dyDescent="0.35">
      <c r="B131">
        <v>110</v>
      </c>
      <c r="C131" s="16" t="str">
        <f t="shared" si="57"/>
        <v>Tue</v>
      </c>
      <c r="D131" s="12">
        <v>44761</v>
      </c>
      <c r="E131">
        <f t="shared" si="60"/>
        <v>73</v>
      </c>
      <c r="F131" s="61">
        <f t="shared" si="42"/>
        <v>242</v>
      </c>
      <c r="G131" s="61">
        <f t="shared" si="43"/>
        <v>51</v>
      </c>
      <c r="H131" s="61">
        <f t="shared" si="44"/>
        <v>110</v>
      </c>
      <c r="I131" s="61">
        <f t="shared" si="45"/>
        <v>61</v>
      </c>
      <c r="J131" s="61">
        <f t="shared" si="46"/>
        <v>0</v>
      </c>
      <c r="K131" s="11">
        <f t="shared" si="47"/>
        <v>0.30165289256198347</v>
      </c>
      <c r="L131" s="11">
        <f t="shared" si="48"/>
        <v>0.12946479237197689</v>
      </c>
      <c r="M131" s="11">
        <f t="shared" si="49"/>
        <v>0.56404958677685946</v>
      </c>
      <c r="N131" s="11">
        <f t="shared" si="50"/>
        <v>0.32196815994432737</v>
      </c>
      <c r="O131" s="11">
        <f t="shared" si="51"/>
        <v>0</v>
      </c>
      <c r="P131" s="11">
        <f t="shared" si="52"/>
        <v>0</v>
      </c>
      <c r="Q131" s="20">
        <f t="shared" si="53"/>
        <v>0.45143295231630426</v>
      </c>
      <c r="R131" s="20">
        <f t="shared" si="54"/>
        <v>1</v>
      </c>
      <c r="S131" s="5">
        <f t="shared" si="58"/>
        <v>214.64839264635896</v>
      </c>
      <c r="T131" s="5">
        <f t="shared" si="59"/>
        <v>193.18355338172307</v>
      </c>
      <c r="U131" s="5">
        <f>U129</f>
        <v>211.38521085627494</v>
      </c>
      <c r="V131" s="5">
        <f>V129</f>
        <v>190.24668977064744</v>
      </c>
      <c r="W131" s="62">
        <f t="shared" si="55"/>
        <v>0.86570247933884292</v>
      </c>
    </row>
    <row r="132" spans="2:23" x14ac:dyDescent="0.35">
      <c r="B132">
        <v>111</v>
      </c>
      <c r="C132" s="16" t="str">
        <f t="shared" si="57"/>
        <v>Wed</v>
      </c>
      <c r="D132" s="12">
        <v>44762</v>
      </c>
      <c r="E132">
        <f t="shared" si="60"/>
        <v>72</v>
      </c>
      <c r="F132" s="61">
        <f t="shared" si="42"/>
        <v>242</v>
      </c>
      <c r="G132" s="61">
        <f t="shared" si="43"/>
        <v>51</v>
      </c>
      <c r="H132" s="61">
        <f t="shared" si="44"/>
        <v>111</v>
      </c>
      <c r="I132" s="61">
        <f t="shared" si="45"/>
        <v>62</v>
      </c>
      <c r="J132" s="61">
        <f t="shared" si="46"/>
        <v>0</v>
      </c>
      <c r="K132" s="11">
        <f t="shared" si="47"/>
        <v>0.2975206611570248</v>
      </c>
      <c r="L132" s="11">
        <f t="shared" si="48"/>
        <v>0.12769130206551144</v>
      </c>
      <c r="M132" s="11">
        <f t="shared" si="49"/>
        <v>0.56818181818181823</v>
      </c>
      <c r="N132" s="11">
        <f t="shared" si="50"/>
        <v>0.32432690104282064</v>
      </c>
      <c r="O132" s="11">
        <f t="shared" si="51"/>
        <v>0</v>
      </c>
      <c r="P132" s="11">
        <f t="shared" si="52"/>
        <v>0</v>
      </c>
      <c r="Q132" s="20">
        <f t="shared" si="53"/>
        <v>0.45201820310833207</v>
      </c>
      <c r="R132" s="20">
        <f t="shared" si="54"/>
        <v>1</v>
      </c>
      <c r="S132" s="5">
        <f t="shared" si="58"/>
        <v>215.18709064382841</v>
      </c>
      <c r="T132" s="5">
        <f t="shared" si="59"/>
        <v>193.66838157944557</v>
      </c>
      <c r="U132" s="5">
        <f>U129</f>
        <v>211.38521085627494</v>
      </c>
      <c r="V132" s="5">
        <f>V129</f>
        <v>190.24668977064744</v>
      </c>
      <c r="W132" s="62">
        <f t="shared" si="55"/>
        <v>0.86570247933884303</v>
      </c>
    </row>
    <row r="133" spans="2:23" x14ac:dyDescent="0.35">
      <c r="B133">
        <v>112</v>
      </c>
      <c r="C133" s="16" t="str">
        <f t="shared" si="57"/>
        <v>Thu</v>
      </c>
      <c r="D133" s="12">
        <v>44763</v>
      </c>
      <c r="E133">
        <f t="shared" si="60"/>
        <v>71</v>
      </c>
      <c r="F133" s="61">
        <f t="shared" si="42"/>
        <v>242</v>
      </c>
      <c r="G133" s="61">
        <f t="shared" si="43"/>
        <v>51</v>
      </c>
      <c r="H133" s="61">
        <f t="shared" si="44"/>
        <v>112</v>
      </c>
      <c r="I133" s="61">
        <f t="shared" si="45"/>
        <v>63</v>
      </c>
      <c r="J133" s="61">
        <f t="shared" si="46"/>
        <v>0</v>
      </c>
      <c r="K133" s="11">
        <f t="shared" si="47"/>
        <v>0.29338842975206614</v>
      </c>
      <c r="L133" s="11">
        <f t="shared" si="48"/>
        <v>0.12591781175904601</v>
      </c>
      <c r="M133" s="11">
        <f t="shared" si="49"/>
        <v>0.5723140495867769</v>
      </c>
      <c r="N133" s="11">
        <f t="shared" si="50"/>
        <v>0.3266856421413139</v>
      </c>
      <c r="O133" s="11">
        <f t="shared" si="51"/>
        <v>0</v>
      </c>
      <c r="P133" s="11">
        <f t="shared" si="52"/>
        <v>0</v>
      </c>
      <c r="Q133" s="20">
        <f t="shared" si="53"/>
        <v>0.45260345390035994</v>
      </c>
      <c r="R133" s="20">
        <f t="shared" si="54"/>
        <v>1</v>
      </c>
      <c r="S133" s="5">
        <f t="shared" si="58"/>
        <v>215.72439548608892</v>
      </c>
      <c r="T133" s="5">
        <f t="shared" si="59"/>
        <v>194.15195593748004</v>
      </c>
      <c r="U133" s="5">
        <f>U129</f>
        <v>211.38521085627494</v>
      </c>
      <c r="V133" s="5">
        <f>V129</f>
        <v>190.24668977064744</v>
      </c>
      <c r="W133" s="62">
        <f t="shared" si="55"/>
        <v>0.86570247933884303</v>
      </c>
    </row>
    <row r="134" spans="2:23" x14ac:dyDescent="0.35">
      <c r="B134">
        <v>113</v>
      </c>
      <c r="C134" s="16" t="str">
        <f t="shared" si="57"/>
        <v>Fri</v>
      </c>
      <c r="D134" s="12">
        <v>44764</v>
      </c>
      <c r="E134">
        <f t="shared" si="60"/>
        <v>70</v>
      </c>
      <c r="F134" s="61">
        <f t="shared" si="42"/>
        <v>242</v>
      </c>
      <c r="G134" s="61">
        <f t="shared" si="43"/>
        <v>51</v>
      </c>
      <c r="H134" s="61">
        <f t="shared" si="44"/>
        <v>113</v>
      </c>
      <c r="I134" s="61">
        <f t="shared" si="45"/>
        <v>64</v>
      </c>
      <c r="J134" s="61">
        <f t="shared" si="46"/>
        <v>0</v>
      </c>
      <c r="K134" s="11">
        <f t="shared" si="47"/>
        <v>0.28925619834710742</v>
      </c>
      <c r="L134" s="11">
        <f t="shared" si="48"/>
        <v>0.12414432145258056</v>
      </c>
      <c r="M134" s="11">
        <f t="shared" si="49"/>
        <v>0.57644628099173556</v>
      </c>
      <c r="N134" s="11">
        <f t="shared" si="50"/>
        <v>0.32904438323980711</v>
      </c>
      <c r="O134" s="11">
        <f t="shared" si="51"/>
        <v>0</v>
      </c>
      <c r="P134" s="11">
        <f t="shared" si="52"/>
        <v>0</v>
      </c>
      <c r="Q134" s="20">
        <f t="shared" si="53"/>
        <v>0.4531887046923877</v>
      </c>
      <c r="R134" s="20">
        <f t="shared" si="54"/>
        <v>1</v>
      </c>
      <c r="S134" s="5">
        <f t="shared" si="58"/>
        <v>216.26031257052921</v>
      </c>
      <c r="T134" s="5">
        <f t="shared" si="59"/>
        <v>194.63428131347629</v>
      </c>
      <c r="U134" s="5">
        <f>U129</f>
        <v>211.38521085627494</v>
      </c>
      <c r="V134" s="5">
        <f>V129</f>
        <v>190.24668977064744</v>
      </c>
      <c r="W134" s="62">
        <f t="shared" si="55"/>
        <v>0.86570247933884303</v>
      </c>
    </row>
    <row r="135" spans="2:23" x14ac:dyDescent="0.35">
      <c r="B135">
        <v>114</v>
      </c>
      <c r="C135" s="16" t="str">
        <f t="shared" si="57"/>
        <v>Sat</v>
      </c>
      <c r="D135" s="12">
        <v>44765</v>
      </c>
      <c r="E135">
        <f t="shared" si="60"/>
        <v>69</v>
      </c>
      <c r="F135" s="61">
        <f t="shared" si="42"/>
        <v>242</v>
      </c>
      <c r="G135" s="61">
        <f t="shared" si="43"/>
        <v>51</v>
      </c>
      <c r="H135" s="61">
        <f t="shared" si="44"/>
        <v>114</v>
      </c>
      <c r="I135" s="61">
        <f t="shared" si="45"/>
        <v>65</v>
      </c>
      <c r="J135" s="61">
        <f t="shared" si="46"/>
        <v>0</v>
      </c>
      <c r="K135" s="11">
        <f t="shared" si="47"/>
        <v>0.28512396694214875</v>
      </c>
      <c r="L135" s="11">
        <f t="shared" si="48"/>
        <v>0.12237083114611513</v>
      </c>
      <c r="M135" s="11">
        <f t="shared" si="49"/>
        <v>0.58057851239669422</v>
      </c>
      <c r="N135" s="11">
        <f t="shared" si="50"/>
        <v>0.33140312433830038</v>
      </c>
      <c r="O135" s="11">
        <f t="shared" si="51"/>
        <v>0</v>
      </c>
      <c r="P135" s="11">
        <f t="shared" si="52"/>
        <v>0</v>
      </c>
      <c r="Q135" s="20">
        <f t="shared" si="53"/>
        <v>0.45377395548441551</v>
      </c>
      <c r="R135" s="20">
        <f t="shared" si="54"/>
        <v>1</v>
      </c>
      <c r="S135" s="5">
        <f t="shared" si="58"/>
        <v>216.79484726669298</v>
      </c>
      <c r="T135" s="5">
        <f t="shared" si="59"/>
        <v>195.11536254002368</v>
      </c>
      <c r="U135" s="5">
        <f>U129</f>
        <v>211.38521085627494</v>
      </c>
      <c r="V135" s="5">
        <f>V129</f>
        <v>190.24668977064744</v>
      </c>
      <c r="W135" s="62">
        <f t="shared" si="55"/>
        <v>0.86570247933884303</v>
      </c>
    </row>
    <row r="136" spans="2:23" x14ac:dyDescent="0.35">
      <c r="B136">
        <v>115</v>
      </c>
      <c r="C136" s="16" t="str">
        <f t="shared" si="57"/>
        <v>Sun</v>
      </c>
      <c r="D136" s="12">
        <v>44766</v>
      </c>
      <c r="E136">
        <f t="shared" si="60"/>
        <v>68</v>
      </c>
      <c r="F136" s="61">
        <f t="shared" si="42"/>
        <v>242</v>
      </c>
      <c r="G136" s="61">
        <f t="shared" si="43"/>
        <v>51</v>
      </c>
      <c r="H136" s="61">
        <f t="shared" si="44"/>
        <v>115</v>
      </c>
      <c r="I136" s="61">
        <f t="shared" si="45"/>
        <v>66</v>
      </c>
      <c r="J136" s="61">
        <f t="shared" si="46"/>
        <v>0</v>
      </c>
      <c r="K136" s="11">
        <f t="shared" si="47"/>
        <v>0.28099173553719009</v>
      </c>
      <c r="L136" s="11">
        <f t="shared" si="48"/>
        <v>0.12059734083964971</v>
      </c>
      <c r="M136" s="11">
        <f t="shared" si="49"/>
        <v>0.58471074380165289</v>
      </c>
      <c r="N136" s="11">
        <f t="shared" si="50"/>
        <v>0.33376186543679359</v>
      </c>
      <c r="O136" s="11">
        <f t="shared" si="51"/>
        <v>0</v>
      </c>
      <c r="P136" s="11">
        <f t="shared" si="52"/>
        <v>0</v>
      </c>
      <c r="Q136" s="20">
        <f t="shared" si="53"/>
        <v>0.45435920627644333</v>
      </c>
      <c r="R136" s="20">
        <f t="shared" si="54"/>
        <v>1</v>
      </c>
      <c r="S136" s="5">
        <f t="shared" si="58"/>
        <v>217.32800491645827</v>
      </c>
      <c r="T136" s="5">
        <f t="shared" si="59"/>
        <v>195.59520442481244</v>
      </c>
      <c r="U136" s="5">
        <f>AVERAGE(S130:S134)</f>
        <v>215.18569748301434</v>
      </c>
      <c r="V136" s="5">
        <f>AVERAGE(T130:T134)</f>
        <v>193.66712773471292</v>
      </c>
      <c r="W136" s="62">
        <f t="shared" si="55"/>
        <v>0.86570247933884303</v>
      </c>
    </row>
    <row r="137" spans="2:23" x14ac:dyDescent="0.35">
      <c r="B137">
        <v>116</v>
      </c>
      <c r="C137" s="16" t="str">
        <f t="shared" si="57"/>
        <v>Mon</v>
      </c>
      <c r="D137" s="12">
        <v>44767</v>
      </c>
      <c r="E137">
        <f t="shared" si="60"/>
        <v>67</v>
      </c>
      <c r="F137" s="61">
        <f t="shared" si="42"/>
        <v>242</v>
      </c>
      <c r="G137" s="61">
        <f t="shared" si="43"/>
        <v>51</v>
      </c>
      <c r="H137" s="61">
        <f t="shared" si="44"/>
        <v>116</v>
      </c>
      <c r="I137" s="61">
        <f t="shared" si="45"/>
        <v>67</v>
      </c>
      <c r="J137" s="61">
        <f t="shared" si="46"/>
        <v>0</v>
      </c>
      <c r="K137" s="11">
        <f t="shared" si="47"/>
        <v>0.27685950413223143</v>
      </c>
      <c r="L137" s="11">
        <f t="shared" si="48"/>
        <v>0.11882385053318427</v>
      </c>
      <c r="M137" s="11">
        <f t="shared" si="49"/>
        <v>0.58884297520661155</v>
      </c>
      <c r="N137" s="11">
        <f t="shared" si="50"/>
        <v>0.3361206065352868</v>
      </c>
      <c r="O137" s="11">
        <f t="shared" si="51"/>
        <v>0</v>
      </c>
      <c r="P137" s="11">
        <f t="shared" si="52"/>
        <v>0</v>
      </c>
      <c r="Q137" s="20">
        <f t="shared" si="53"/>
        <v>0.45494445706847109</v>
      </c>
      <c r="R137" s="20">
        <f t="shared" si="54"/>
        <v>1</v>
      </c>
      <c r="S137" s="5">
        <f t="shared" si="58"/>
        <v>217.85979083421566</v>
      </c>
      <c r="T137" s="5">
        <f t="shared" si="59"/>
        <v>196.07381175079411</v>
      </c>
      <c r="U137" s="5">
        <f>U136</f>
        <v>215.18569748301434</v>
      </c>
      <c r="V137" s="5">
        <f>V136</f>
        <v>193.66712773471292</v>
      </c>
      <c r="W137" s="62">
        <f t="shared" si="55"/>
        <v>0.86570247933884303</v>
      </c>
    </row>
    <row r="138" spans="2:23" x14ac:dyDescent="0.35">
      <c r="B138">
        <v>117</v>
      </c>
      <c r="C138" s="16" t="str">
        <f t="shared" si="57"/>
        <v>Tue</v>
      </c>
      <c r="D138" s="12">
        <v>44768</v>
      </c>
      <c r="E138">
        <f t="shared" si="60"/>
        <v>66</v>
      </c>
      <c r="F138" s="61">
        <f t="shared" si="42"/>
        <v>242</v>
      </c>
      <c r="G138" s="61">
        <f t="shared" si="43"/>
        <v>51</v>
      </c>
      <c r="H138" s="61">
        <f t="shared" si="44"/>
        <v>117</v>
      </c>
      <c r="I138" s="61">
        <f t="shared" si="45"/>
        <v>68</v>
      </c>
      <c r="J138" s="61">
        <f t="shared" si="46"/>
        <v>0</v>
      </c>
      <c r="K138" s="11">
        <f t="shared" si="47"/>
        <v>0.27272727272727271</v>
      </c>
      <c r="L138" s="11">
        <f t="shared" si="48"/>
        <v>0.11705036022671882</v>
      </c>
      <c r="M138" s="11">
        <f t="shared" si="49"/>
        <v>0.59297520661157022</v>
      </c>
      <c r="N138" s="11">
        <f t="shared" si="50"/>
        <v>0.33847934763378007</v>
      </c>
      <c r="O138" s="11">
        <f t="shared" si="51"/>
        <v>0</v>
      </c>
      <c r="P138" s="11">
        <f t="shared" si="52"/>
        <v>0</v>
      </c>
      <c r="Q138" s="20">
        <f t="shared" si="53"/>
        <v>0.4555297078604989</v>
      </c>
      <c r="R138" s="20">
        <f t="shared" si="54"/>
        <v>1</v>
      </c>
      <c r="S138" s="5">
        <f t="shared" si="58"/>
        <v>218.3902103070445</v>
      </c>
      <c r="T138" s="5">
        <f t="shared" si="59"/>
        <v>196.55118927634004</v>
      </c>
      <c r="U138" s="5">
        <f>U136</f>
        <v>215.18569748301434</v>
      </c>
      <c r="V138" s="5">
        <f>V136</f>
        <v>193.66712773471292</v>
      </c>
      <c r="W138" s="62">
        <f t="shared" si="55"/>
        <v>0.86570247933884292</v>
      </c>
    </row>
    <row r="139" spans="2:23" x14ac:dyDescent="0.35">
      <c r="B139">
        <v>118</v>
      </c>
      <c r="C139" s="16" t="str">
        <f t="shared" si="57"/>
        <v>Wed</v>
      </c>
      <c r="D139" s="12">
        <v>44769</v>
      </c>
      <c r="E139">
        <f t="shared" si="60"/>
        <v>65</v>
      </c>
      <c r="F139" s="61">
        <f t="shared" si="42"/>
        <v>242</v>
      </c>
      <c r="G139" s="61">
        <f t="shared" si="43"/>
        <v>51</v>
      </c>
      <c r="H139" s="61">
        <f t="shared" si="44"/>
        <v>118</v>
      </c>
      <c r="I139" s="61">
        <f t="shared" si="45"/>
        <v>69</v>
      </c>
      <c r="J139" s="61">
        <f t="shared" si="46"/>
        <v>0</v>
      </c>
      <c r="K139" s="11">
        <f t="shared" si="47"/>
        <v>0.26859504132231404</v>
      </c>
      <c r="L139" s="11">
        <f t="shared" si="48"/>
        <v>0.11527686992025339</v>
      </c>
      <c r="M139" s="11">
        <f t="shared" si="49"/>
        <v>0.59710743801652888</v>
      </c>
      <c r="N139" s="11">
        <f t="shared" si="50"/>
        <v>0.34083808873227328</v>
      </c>
      <c r="O139" s="11">
        <f t="shared" si="51"/>
        <v>0</v>
      </c>
      <c r="P139" s="11">
        <f t="shared" si="52"/>
        <v>0</v>
      </c>
      <c r="Q139" s="20">
        <f t="shared" si="53"/>
        <v>0.45611495865252666</v>
      </c>
      <c r="R139" s="20">
        <f t="shared" si="54"/>
        <v>1</v>
      </c>
      <c r="S139" s="5">
        <f t="shared" si="58"/>
        <v>218.91926859488831</v>
      </c>
      <c r="T139" s="5">
        <f t="shared" si="59"/>
        <v>197.02734173539949</v>
      </c>
      <c r="U139" s="5">
        <f>U136</f>
        <v>215.18569748301434</v>
      </c>
      <c r="V139" s="5">
        <f>V136</f>
        <v>193.66712773471292</v>
      </c>
      <c r="W139" s="62">
        <f t="shared" si="55"/>
        <v>0.86570247933884292</v>
      </c>
    </row>
    <row r="140" spans="2:23" x14ac:dyDescent="0.35">
      <c r="B140">
        <v>119</v>
      </c>
      <c r="C140" s="16" t="str">
        <f t="shared" si="57"/>
        <v>Thu</v>
      </c>
      <c r="D140" s="12">
        <v>44770</v>
      </c>
      <c r="E140">
        <f t="shared" si="60"/>
        <v>64</v>
      </c>
      <c r="F140" s="61">
        <f t="shared" si="42"/>
        <v>242</v>
      </c>
      <c r="G140" s="61">
        <f t="shared" si="43"/>
        <v>51</v>
      </c>
      <c r="H140" s="61">
        <f t="shared" si="44"/>
        <v>119</v>
      </c>
      <c r="I140" s="61">
        <f t="shared" si="45"/>
        <v>70</v>
      </c>
      <c r="J140" s="61">
        <f t="shared" si="46"/>
        <v>0</v>
      </c>
      <c r="K140" s="11">
        <f t="shared" si="47"/>
        <v>0.26446280991735538</v>
      </c>
      <c r="L140" s="11">
        <f t="shared" si="48"/>
        <v>0.11350337961378795</v>
      </c>
      <c r="M140" s="11">
        <f t="shared" si="49"/>
        <v>0.60123966942148765</v>
      </c>
      <c r="N140" s="11">
        <f t="shared" si="50"/>
        <v>0.3431968298307666</v>
      </c>
      <c r="O140" s="11">
        <f t="shared" si="51"/>
        <v>0</v>
      </c>
      <c r="P140" s="11">
        <f t="shared" si="52"/>
        <v>0</v>
      </c>
      <c r="Q140" s="20">
        <f t="shared" si="53"/>
        <v>0.45670020944455458</v>
      </c>
      <c r="R140" s="20">
        <f t="shared" si="54"/>
        <v>0.99999999999999989</v>
      </c>
      <c r="S140" s="5">
        <f t="shared" si="58"/>
        <v>219.44697093072861</v>
      </c>
      <c r="T140" s="5">
        <f t="shared" si="59"/>
        <v>197.50227383765576</v>
      </c>
      <c r="U140" s="5">
        <f>U136</f>
        <v>215.18569748301434</v>
      </c>
      <c r="V140" s="5">
        <f>V136</f>
        <v>193.66712773471292</v>
      </c>
      <c r="W140" s="62">
        <f t="shared" si="55"/>
        <v>0.86570247933884303</v>
      </c>
    </row>
    <row r="141" spans="2:23" x14ac:dyDescent="0.35">
      <c r="B141">
        <v>120</v>
      </c>
      <c r="C141" s="16" t="str">
        <f t="shared" si="57"/>
        <v>Fri</v>
      </c>
      <c r="D141" s="12">
        <v>44771</v>
      </c>
      <c r="E141">
        <f t="shared" si="60"/>
        <v>63</v>
      </c>
      <c r="F141" s="61">
        <f t="shared" si="42"/>
        <v>242</v>
      </c>
      <c r="G141" s="61">
        <f t="shared" si="43"/>
        <v>51</v>
      </c>
      <c r="H141" s="61">
        <f t="shared" si="44"/>
        <v>120</v>
      </c>
      <c r="I141" s="61">
        <f t="shared" si="45"/>
        <v>71</v>
      </c>
      <c r="J141" s="61">
        <f t="shared" si="46"/>
        <v>0</v>
      </c>
      <c r="K141" s="11">
        <f t="shared" si="47"/>
        <v>0.26033057851239672</v>
      </c>
      <c r="L141" s="11">
        <f t="shared" si="48"/>
        <v>0.11172988930732253</v>
      </c>
      <c r="M141" s="11">
        <f t="shared" si="49"/>
        <v>0.60537190082644632</v>
      </c>
      <c r="N141" s="11">
        <f t="shared" si="50"/>
        <v>0.34555557092925981</v>
      </c>
      <c r="O141" s="11">
        <f t="shared" si="51"/>
        <v>0</v>
      </c>
      <c r="P141" s="11">
        <f t="shared" si="52"/>
        <v>0</v>
      </c>
      <c r="Q141" s="20">
        <f t="shared" si="53"/>
        <v>0.45728546023658234</v>
      </c>
      <c r="R141" s="20">
        <f t="shared" si="54"/>
        <v>1</v>
      </c>
      <c r="S141" s="5">
        <f t="shared" si="58"/>
        <v>219.97332252075759</v>
      </c>
      <c r="T141" s="5">
        <f t="shared" si="59"/>
        <v>197.97599026868184</v>
      </c>
      <c r="U141" s="5">
        <f>U136</f>
        <v>215.18569748301434</v>
      </c>
      <c r="V141" s="5">
        <f>V136</f>
        <v>193.66712773471292</v>
      </c>
      <c r="W141" s="62">
        <f t="shared" si="55"/>
        <v>0.86570247933884303</v>
      </c>
    </row>
    <row r="142" spans="2:23" x14ac:dyDescent="0.35">
      <c r="B142">
        <v>121</v>
      </c>
      <c r="C142" s="16" t="str">
        <f t="shared" si="57"/>
        <v>Sat</v>
      </c>
      <c r="D142" s="12">
        <v>44772</v>
      </c>
      <c r="E142">
        <f t="shared" si="60"/>
        <v>62</v>
      </c>
      <c r="F142" s="61">
        <f t="shared" si="42"/>
        <v>242</v>
      </c>
      <c r="G142" s="61">
        <f t="shared" si="43"/>
        <v>51</v>
      </c>
      <c r="H142" s="61">
        <f t="shared" si="44"/>
        <v>121</v>
      </c>
      <c r="I142" s="61">
        <f t="shared" si="45"/>
        <v>72</v>
      </c>
      <c r="J142" s="61">
        <f t="shared" si="46"/>
        <v>0</v>
      </c>
      <c r="K142" s="11">
        <f t="shared" si="47"/>
        <v>0.256198347107438</v>
      </c>
      <c r="L142" s="11">
        <f t="shared" si="48"/>
        <v>0.10995639900085707</v>
      </c>
      <c r="M142" s="11">
        <f t="shared" si="49"/>
        <v>0.60950413223140498</v>
      </c>
      <c r="N142" s="11">
        <f t="shared" si="50"/>
        <v>0.34791431202775303</v>
      </c>
      <c r="O142" s="11">
        <f t="shared" si="51"/>
        <v>0</v>
      </c>
      <c r="P142" s="11">
        <f t="shared" si="52"/>
        <v>0</v>
      </c>
      <c r="Q142" s="20">
        <f t="shared" si="53"/>
        <v>0.4578707110286101</v>
      </c>
      <c r="R142" s="20">
        <f t="shared" si="54"/>
        <v>1</v>
      </c>
      <c r="S142" s="5">
        <f t="shared" si="58"/>
        <v>220.49832854454908</v>
      </c>
      <c r="T142" s="5">
        <f t="shared" si="59"/>
        <v>198.44849569009418</v>
      </c>
      <c r="U142" s="5">
        <f>U136</f>
        <v>215.18569748301434</v>
      </c>
      <c r="V142" s="5">
        <f>V136</f>
        <v>193.66712773471292</v>
      </c>
      <c r="W142" s="62">
        <f t="shared" si="55"/>
        <v>0.86570247933884303</v>
      </c>
    </row>
    <row r="143" spans="2:23" x14ac:dyDescent="0.35">
      <c r="B143">
        <v>122</v>
      </c>
      <c r="C143" s="16" t="str">
        <f t="shared" si="57"/>
        <v>Sun</v>
      </c>
      <c r="D143" s="12">
        <v>44773</v>
      </c>
      <c r="E143">
        <f t="shared" si="60"/>
        <v>61</v>
      </c>
      <c r="F143" s="61">
        <f t="shared" si="42"/>
        <v>242</v>
      </c>
      <c r="G143" s="61">
        <f t="shared" si="43"/>
        <v>51</v>
      </c>
      <c r="H143" s="61">
        <f t="shared" si="44"/>
        <v>122</v>
      </c>
      <c r="I143" s="61">
        <f t="shared" si="45"/>
        <v>73</v>
      </c>
      <c r="J143" s="61">
        <f t="shared" si="46"/>
        <v>0</v>
      </c>
      <c r="K143" s="11">
        <f t="shared" si="47"/>
        <v>0.25206611570247933</v>
      </c>
      <c r="L143" s="11">
        <f t="shared" si="48"/>
        <v>0.10818290869439164</v>
      </c>
      <c r="M143" s="11">
        <f t="shared" si="49"/>
        <v>0.61363636363636365</v>
      </c>
      <c r="N143" s="11">
        <f t="shared" si="50"/>
        <v>0.35027305312624629</v>
      </c>
      <c r="O143" s="11">
        <f t="shared" si="51"/>
        <v>0</v>
      </c>
      <c r="P143" s="11">
        <f t="shared" si="52"/>
        <v>0</v>
      </c>
      <c r="Q143" s="20">
        <f t="shared" si="53"/>
        <v>0.45845596182063791</v>
      </c>
      <c r="R143" s="20">
        <f t="shared" si="54"/>
        <v>1</v>
      </c>
      <c r="S143" s="5">
        <f t="shared" si="58"/>
        <v>221.02199415522858</v>
      </c>
      <c r="T143" s="5">
        <f t="shared" si="59"/>
        <v>198.91979473970574</v>
      </c>
      <c r="U143" s="5">
        <f>AVERAGE(S137:S141)</f>
        <v>218.91791263752694</v>
      </c>
      <c r="V143" s="5">
        <f>AVERAGE(T137:T141)</f>
        <v>197.02612137377426</v>
      </c>
      <c r="W143" s="62">
        <f t="shared" si="55"/>
        <v>0.86570247933884303</v>
      </c>
    </row>
    <row r="144" spans="2:23" x14ac:dyDescent="0.35">
      <c r="B144">
        <v>123</v>
      </c>
      <c r="C144" s="16" t="str">
        <f t="shared" si="57"/>
        <v>Mon</v>
      </c>
      <c r="D144" s="12">
        <v>44774</v>
      </c>
      <c r="E144">
        <f t="shared" si="60"/>
        <v>60</v>
      </c>
      <c r="F144" s="61">
        <f t="shared" si="42"/>
        <v>242</v>
      </c>
      <c r="G144" s="61">
        <f t="shared" si="43"/>
        <v>51</v>
      </c>
      <c r="H144" s="61">
        <f t="shared" si="44"/>
        <v>123</v>
      </c>
      <c r="I144" s="61">
        <f t="shared" si="45"/>
        <v>74</v>
      </c>
      <c r="J144" s="61">
        <f t="shared" si="46"/>
        <v>0</v>
      </c>
      <c r="K144" s="11">
        <f t="shared" si="47"/>
        <v>0.24793388429752067</v>
      </c>
      <c r="L144" s="11">
        <f t="shared" si="48"/>
        <v>0.10640941838792621</v>
      </c>
      <c r="M144" s="11">
        <f t="shared" si="49"/>
        <v>0.61776859504132231</v>
      </c>
      <c r="N144" s="11">
        <f t="shared" si="50"/>
        <v>0.3526317942247395</v>
      </c>
      <c r="O144" s="11">
        <f t="shared" si="51"/>
        <v>0</v>
      </c>
      <c r="P144" s="11">
        <f t="shared" si="52"/>
        <v>0</v>
      </c>
      <c r="Q144" s="20">
        <f t="shared" si="53"/>
        <v>0.45904121261266573</v>
      </c>
      <c r="R144" s="20">
        <f t="shared" si="54"/>
        <v>1</v>
      </c>
      <c r="S144" s="5">
        <f t="shared" si="58"/>
        <v>221.54432447964189</v>
      </c>
      <c r="T144" s="5">
        <f t="shared" si="59"/>
        <v>199.3898920316777</v>
      </c>
      <c r="U144" s="5">
        <f>U143</f>
        <v>218.91791263752694</v>
      </c>
      <c r="V144" s="5">
        <f>V143</f>
        <v>197.02612137377426</v>
      </c>
      <c r="W144" s="62">
        <f t="shared" si="55"/>
        <v>0.86570247933884303</v>
      </c>
    </row>
    <row r="145" spans="2:23" x14ac:dyDescent="0.35">
      <c r="B145">
        <v>124</v>
      </c>
      <c r="C145" s="16" t="str">
        <f t="shared" si="57"/>
        <v>Tue</v>
      </c>
      <c r="D145" s="12">
        <v>44775</v>
      </c>
      <c r="E145">
        <f t="shared" si="60"/>
        <v>59</v>
      </c>
      <c r="F145" s="61">
        <f t="shared" si="42"/>
        <v>242</v>
      </c>
      <c r="G145" s="61">
        <f t="shared" si="43"/>
        <v>51</v>
      </c>
      <c r="H145" s="61">
        <f t="shared" si="44"/>
        <v>124</v>
      </c>
      <c r="I145" s="61">
        <f t="shared" si="45"/>
        <v>75</v>
      </c>
      <c r="J145" s="61">
        <f t="shared" si="46"/>
        <v>0</v>
      </c>
      <c r="K145" s="11">
        <f t="shared" si="47"/>
        <v>0.24380165289256198</v>
      </c>
      <c r="L145" s="11">
        <f t="shared" si="48"/>
        <v>0.10463592808146077</v>
      </c>
      <c r="M145" s="11">
        <f t="shared" si="49"/>
        <v>0.62190082644628097</v>
      </c>
      <c r="N145" s="11">
        <f t="shared" si="50"/>
        <v>0.35499053532323277</v>
      </c>
      <c r="O145" s="11">
        <f t="shared" si="51"/>
        <v>0</v>
      </c>
      <c r="P145" s="11">
        <f t="shared" si="52"/>
        <v>0</v>
      </c>
      <c r="Q145" s="20">
        <f t="shared" si="53"/>
        <v>0.45962646340469354</v>
      </c>
      <c r="R145" s="20">
        <f t="shared" si="54"/>
        <v>1</v>
      </c>
      <c r="S145" s="5">
        <f t="shared" si="58"/>
        <v>222.06532461852237</v>
      </c>
      <c r="T145" s="5">
        <f t="shared" si="59"/>
        <v>199.85879215667015</v>
      </c>
      <c r="U145" s="5">
        <f>U143</f>
        <v>218.91791263752694</v>
      </c>
      <c r="V145" s="5">
        <f>V143</f>
        <v>197.02612137377426</v>
      </c>
      <c r="W145" s="62">
        <f t="shared" si="55"/>
        <v>0.86570247933884292</v>
      </c>
    </row>
    <row r="146" spans="2:23" x14ac:dyDescent="0.35">
      <c r="B146">
        <v>125</v>
      </c>
      <c r="C146" s="16" t="str">
        <f t="shared" si="57"/>
        <v>Wed</v>
      </c>
      <c r="D146" s="12">
        <v>44776</v>
      </c>
      <c r="E146">
        <f t="shared" si="60"/>
        <v>58</v>
      </c>
      <c r="F146" s="61">
        <f t="shared" si="42"/>
        <v>242</v>
      </c>
      <c r="G146" s="61">
        <f t="shared" si="43"/>
        <v>51</v>
      </c>
      <c r="H146" s="61">
        <f t="shared" si="44"/>
        <v>125</v>
      </c>
      <c r="I146" s="61">
        <f t="shared" si="45"/>
        <v>76</v>
      </c>
      <c r="J146" s="61">
        <f t="shared" si="46"/>
        <v>0</v>
      </c>
      <c r="K146" s="11">
        <f t="shared" si="47"/>
        <v>0.23966942148760331</v>
      </c>
      <c r="L146" s="11">
        <f t="shared" si="48"/>
        <v>0.10286243777499533</v>
      </c>
      <c r="M146" s="11">
        <f t="shared" si="49"/>
        <v>0.62603305785123964</v>
      </c>
      <c r="N146" s="11">
        <f t="shared" si="50"/>
        <v>0.35734927642172598</v>
      </c>
      <c r="O146" s="11">
        <f t="shared" si="51"/>
        <v>0</v>
      </c>
      <c r="P146" s="11">
        <f t="shared" si="52"/>
        <v>0</v>
      </c>
      <c r="Q146" s="20">
        <f t="shared" si="53"/>
        <v>0.4602117141967213</v>
      </c>
      <c r="R146" s="20">
        <f t="shared" si="54"/>
        <v>1</v>
      </c>
      <c r="S146" s="5">
        <f t="shared" si="58"/>
        <v>222.58499964665702</v>
      </c>
      <c r="T146" s="5">
        <f t="shared" si="59"/>
        <v>200.32649968199132</v>
      </c>
      <c r="U146" s="5">
        <f>U143</f>
        <v>218.91791263752694</v>
      </c>
      <c r="V146" s="5">
        <f>V143</f>
        <v>197.02612137377426</v>
      </c>
      <c r="W146" s="62">
        <f t="shared" si="55"/>
        <v>0.86570247933884292</v>
      </c>
    </row>
    <row r="147" spans="2:23" x14ac:dyDescent="0.35">
      <c r="B147">
        <v>126</v>
      </c>
      <c r="C147" s="16" t="str">
        <f t="shared" si="57"/>
        <v>Thu</v>
      </c>
      <c r="D147" s="12">
        <v>44777</v>
      </c>
      <c r="E147">
        <f t="shared" si="60"/>
        <v>57</v>
      </c>
      <c r="F147" s="61">
        <f t="shared" si="42"/>
        <v>242</v>
      </c>
      <c r="G147" s="61">
        <f t="shared" si="43"/>
        <v>51</v>
      </c>
      <c r="H147" s="61">
        <f t="shared" si="44"/>
        <v>126</v>
      </c>
      <c r="I147" s="61">
        <f t="shared" si="45"/>
        <v>77</v>
      </c>
      <c r="J147" s="61">
        <f t="shared" si="46"/>
        <v>0</v>
      </c>
      <c r="K147" s="11">
        <f t="shared" si="47"/>
        <v>0.23553719008264462</v>
      </c>
      <c r="L147" s="11">
        <f t="shared" si="48"/>
        <v>0.10108894746852989</v>
      </c>
      <c r="M147" s="11">
        <f t="shared" si="49"/>
        <v>0.6301652892561983</v>
      </c>
      <c r="N147" s="11">
        <f t="shared" si="50"/>
        <v>0.35970801752021919</v>
      </c>
      <c r="O147" s="11">
        <f t="shared" si="51"/>
        <v>0</v>
      </c>
      <c r="P147" s="11">
        <f t="shared" si="52"/>
        <v>0</v>
      </c>
      <c r="Q147" s="20">
        <f t="shared" si="53"/>
        <v>0.46079696498874911</v>
      </c>
      <c r="R147" s="20">
        <f t="shared" si="54"/>
        <v>1</v>
      </c>
      <c r="S147" s="5">
        <f t="shared" si="58"/>
        <v>223.1033546130511</v>
      </c>
      <c r="T147" s="5">
        <f t="shared" si="59"/>
        <v>200.79301915174599</v>
      </c>
      <c r="U147" s="5">
        <f>U143</f>
        <v>218.91791263752694</v>
      </c>
      <c r="V147" s="5">
        <f>V143</f>
        <v>197.02612137377426</v>
      </c>
      <c r="W147" s="62">
        <f t="shared" si="55"/>
        <v>0.86570247933884292</v>
      </c>
    </row>
    <row r="148" spans="2:23" x14ac:dyDescent="0.35">
      <c r="B148">
        <v>127</v>
      </c>
      <c r="C148" s="16" t="str">
        <f t="shared" si="57"/>
        <v>Fri</v>
      </c>
      <c r="D148" s="12">
        <v>44778</v>
      </c>
      <c r="E148">
        <f t="shared" si="60"/>
        <v>56</v>
      </c>
      <c r="F148" s="61">
        <f t="shared" si="42"/>
        <v>242</v>
      </c>
      <c r="G148" s="61">
        <f t="shared" si="43"/>
        <v>51</v>
      </c>
      <c r="H148" s="61">
        <f t="shared" si="44"/>
        <v>127</v>
      </c>
      <c r="I148" s="61">
        <f t="shared" si="45"/>
        <v>78</v>
      </c>
      <c r="J148" s="61">
        <f t="shared" si="46"/>
        <v>0</v>
      </c>
      <c r="K148" s="11">
        <f t="shared" si="47"/>
        <v>0.23140495867768596</v>
      </c>
      <c r="L148" s="11">
        <f t="shared" si="48"/>
        <v>9.9315457162064455E-2</v>
      </c>
      <c r="M148" s="11">
        <f t="shared" si="49"/>
        <v>0.63429752066115708</v>
      </c>
      <c r="N148" s="11">
        <f t="shared" si="50"/>
        <v>0.36206675861871251</v>
      </c>
      <c r="O148" s="11">
        <f t="shared" si="51"/>
        <v>0</v>
      </c>
      <c r="P148" s="11">
        <f t="shared" si="52"/>
        <v>0</v>
      </c>
      <c r="Q148" s="20">
        <f t="shared" si="53"/>
        <v>0.46138221578077698</v>
      </c>
      <c r="R148" s="20">
        <f t="shared" si="54"/>
        <v>1</v>
      </c>
      <c r="S148" s="5">
        <f t="shared" si="58"/>
        <v>223.62039454109197</v>
      </c>
      <c r="T148" s="5">
        <f t="shared" si="59"/>
        <v>201.25835508698279</v>
      </c>
      <c r="U148" s="5">
        <f>U143</f>
        <v>218.91791263752694</v>
      </c>
      <c r="V148" s="5">
        <f>V143</f>
        <v>197.02612137377426</v>
      </c>
      <c r="W148" s="62">
        <f t="shared" si="55"/>
        <v>0.86570247933884303</v>
      </c>
    </row>
    <row r="149" spans="2:23" x14ac:dyDescent="0.35">
      <c r="B149">
        <v>128</v>
      </c>
      <c r="C149" s="16" t="str">
        <f t="shared" si="57"/>
        <v>Sat</v>
      </c>
      <c r="D149" s="12">
        <v>44779</v>
      </c>
      <c r="E149">
        <f t="shared" si="60"/>
        <v>55</v>
      </c>
      <c r="F149" s="61">
        <f t="shared" si="42"/>
        <v>242</v>
      </c>
      <c r="G149" s="61">
        <f t="shared" si="43"/>
        <v>51</v>
      </c>
      <c r="H149" s="61">
        <f t="shared" si="44"/>
        <v>128</v>
      </c>
      <c r="I149" s="61">
        <f t="shared" si="45"/>
        <v>79</v>
      </c>
      <c r="J149" s="61">
        <f t="shared" si="46"/>
        <v>0</v>
      </c>
      <c r="K149" s="11">
        <f t="shared" si="47"/>
        <v>0.22727272727272727</v>
      </c>
      <c r="L149" s="11">
        <f t="shared" si="48"/>
        <v>9.7541966855599016E-2</v>
      </c>
      <c r="M149" s="11">
        <f t="shared" si="49"/>
        <v>0.63842975206611574</v>
      </c>
      <c r="N149" s="11">
        <f t="shared" si="50"/>
        <v>0.36442549971720573</v>
      </c>
      <c r="O149" s="11">
        <f t="shared" si="51"/>
        <v>0</v>
      </c>
      <c r="P149" s="11">
        <f t="shared" si="52"/>
        <v>0</v>
      </c>
      <c r="Q149" s="20">
        <f t="shared" si="53"/>
        <v>0.46196746657280474</v>
      </c>
      <c r="R149" s="20">
        <f t="shared" si="54"/>
        <v>1</v>
      </c>
      <c r="S149" s="5">
        <f t="shared" si="58"/>
        <v>224.13612442871099</v>
      </c>
      <c r="T149" s="5">
        <f t="shared" si="59"/>
        <v>201.7225119858399</v>
      </c>
      <c r="U149" s="5">
        <f>U143</f>
        <v>218.91791263752694</v>
      </c>
      <c r="V149" s="5">
        <f>V143</f>
        <v>197.02612137377426</v>
      </c>
      <c r="W149" s="62">
        <f t="shared" si="55"/>
        <v>0.86570247933884303</v>
      </c>
    </row>
    <row r="150" spans="2:23" x14ac:dyDescent="0.35">
      <c r="B150">
        <v>129</v>
      </c>
      <c r="C150" s="16" t="str">
        <f t="shared" ref="C150:C181" si="61">TEXT(D150,"ddd")</f>
        <v>Sun</v>
      </c>
      <c r="D150" s="12">
        <v>44780</v>
      </c>
      <c r="E150">
        <f t="shared" si="60"/>
        <v>54</v>
      </c>
      <c r="F150" s="61">
        <f t="shared" si="42"/>
        <v>242</v>
      </c>
      <c r="G150" s="61">
        <f t="shared" si="43"/>
        <v>51</v>
      </c>
      <c r="H150" s="61">
        <f t="shared" si="44"/>
        <v>129</v>
      </c>
      <c r="I150" s="61">
        <f t="shared" si="45"/>
        <v>80</v>
      </c>
      <c r="J150" s="61">
        <f t="shared" si="46"/>
        <v>0</v>
      </c>
      <c r="K150" s="11">
        <f t="shared" si="47"/>
        <v>0.2231404958677686</v>
      </c>
      <c r="L150" s="11">
        <f t="shared" si="48"/>
        <v>9.5768476549133591E-2</v>
      </c>
      <c r="M150" s="11">
        <f t="shared" si="49"/>
        <v>0.6425619834710744</v>
      </c>
      <c r="N150" s="11">
        <f t="shared" si="50"/>
        <v>0.36678424081569899</v>
      </c>
      <c r="O150" s="11">
        <f t="shared" si="51"/>
        <v>0</v>
      </c>
      <c r="P150" s="11">
        <f t="shared" si="52"/>
        <v>0</v>
      </c>
      <c r="Q150" s="20">
        <f t="shared" si="53"/>
        <v>0.46255271736483261</v>
      </c>
      <c r="R150" s="20">
        <f t="shared" si="54"/>
        <v>0.99999999999999989</v>
      </c>
      <c r="S150" s="5">
        <f t="shared" ref="S150:S181" si="62">((PCc*L150)+(PCn*N150)+(PCn_2*P150))/(L150+N150+P150)</f>
        <v>224.65054924854473</v>
      </c>
      <c r="T150" s="5">
        <f t="shared" ref="T150:T181" si="63">S150*LSLT</f>
        <v>202.18549432369028</v>
      </c>
      <c r="U150" s="5">
        <f>AVERAGE(S144:S148)</f>
        <v>222.58367957979289</v>
      </c>
      <c r="V150" s="5">
        <f>AVERAGE(T144:T148)</f>
        <v>200.32531162181357</v>
      </c>
      <c r="W150" s="62">
        <f t="shared" si="55"/>
        <v>0.86570247933884303</v>
      </c>
    </row>
    <row r="151" spans="2:23" x14ac:dyDescent="0.35">
      <c r="B151">
        <v>130</v>
      </c>
      <c r="C151" s="16" t="str">
        <f t="shared" si="61"/>
        <v>Mon</v>
      </c>
      <c r="D151" s="12">
        <v>44781</v>
      </c>
      <c r="E151">
        <f t="shared" si="60"/>
        <v>53</v>
      </c>
      <c r="F151" s="61">
        <f t="shared" ref="F151:F204" si="64">$E$19</f>
        <v>242</v>
      </c>
      <c r="G151" s="61">
        <f t="shared" ref="G151:G204" si="65">$E$18</f>
        <v>51</v>
      </c>
      <c r="H151" s="61">
        <f t="shared" ref="H151:H204" si="66">B151</f>
        <v>130</v>
      </c>
      <c r="I151" s="61">
        <f t="shared" ref="I151:I204" si="67">IF(D151&lt;$D$71,0,B151-49)</f>
        <v>81</v>
      </c>
      <c r="J151" s="61">
        <f t="shared" ref="J151:J204" si="68">IF(D151&lt;$D$175,0,B151-153)</f>
        <v>0</v>
      </c>
      <c r="K151" s="11">
        <f t="shared" ref="K151:K204" si="69">E151/F151</f>
        <v>0.21900826446280991</v>
      </c>
      <c r="L151" s="11">
        <f t="shared" ref="L151:L204" si="70">K151*$D$9</f>
        <v>9.3994986242668138E-2</v>
      </c>
      <c r="M151" s="11">
        <f t="shared" ref="M151:M204" si="71">(G151+0.5*(H151-I151)+(I151-J151))/F151</f>
        <v>0.64669421487603307</v>
      </c>
      <c r="N151" s="11">
        <f t="shared" ref="N151:N204" si="72">M151*$D$10</f>
        <v>0.3691429819141922</v>
      </c>
      <c r="O151" s="11">
        <f t="shared" ref="O151:O204" si="73">J151/F151</f>
        <v>0</v>
      </c>
      <c r="P151" s="11">
        <f t="shared" ref="P151:P204" si="74">O151*$D$9</f>
        <v>0</v>
      </c>
      <c r="Q151" s="20">
        <f t="shared" ref="Q151:Q204" si="75">SUM(L151,N151,P151)</f>
        <v>0.46313796815686037</v>
      </c>
      <c r="R151" s="20">
        <f t="shared" ref="R151:R204" si="76">(L151/Q151)+(N151/Q151)+(P151/Q151)</f>
        <v>1</v>
      </c>
      <c r="S151" s="5">
        <f t="shared" si="62"/>
        <v>225.16367394809492</v>
      </c>
      <c r="T151" s="5">
        <f t="shared" si="63"/>
        <v>202.64730655328543</v>
      </c>
      <c r="U151" s="5">
        <f>U150</f>
        <v>222.58367957979289</v>
      </c>
      <c r="V151" s="5">
        <f>V150</f>
        <v>200.32531162181357</v>
      </c>
      <c r="W151" s="62">
        <f t="shared" ref="W151:W205" si="77">K151+M151+O151</f>
        <v>0.86570247933884303</v>
      </c>
    </row>
    <row r="152" spans="2:23" x14ac:dyDescent="0.35">
      <c r="B152">
        <v>131</v>
      </c>
      <c r="C152" s="16" t="str">
        <f t="shared" si="61"/>
        <v>Tue</v>
      </c>
      <c r="D152" s="12">
        <v>44782</v>
      </c>
      <c r="E152">
        <f t="shared" si="60"/>
        <v>52</v>
      </c>
      <c r="F152" s="61">
        <f t="shared" si="64"/>
        <v>242</v>
      </c>
      <c r="G152" s="61">
        <f t="shared" si="65"/>
        <v>51</v>
      </c>
      <c r="H152" s="61">
        <f t="shared" si="66"/>
        <v>131</v>
      </c>
      <c r="I152" s="61">
        <f t="shared" si="67"/>
        <v>82</v>
      </c>
      <c r="J152" s="61">
        <f t="shared" si="68"/>
        <v>0</v>
      </c>
      <c r="K152" s="11">
        <f t="shared" si="69"/>
        <v>0.21487603305785125</v>
      </c>
      <c r="L152" s="11">
        <f t="shared" si="70"/>
        <v>9.2221495936202713E-2</v>
      </c>
      <c r="M152" s="11">
        <f t="shared" si="71"/>
        <v>0.65082644628099173</v>
      </c>
      <c r="N152" s="11">
        <f t="shared" si="72"/>
        <v>0.37150172301268547</v>
      </c>
      <c r="O152" s="11">
        <f t="shared" si="73"/>
        <v>0</v>
      </c>
      <c r="P152" s="11">
        <f t="shared" si="74"/>
        <v>0</v>
      </c>
      <c r="Q152" s="20">
        <f t="shared" si="75"/>
        <v>0.46372321894888818</v>
      </c>
      <c r="R152" s="20">
        <f t="shared" si="76"/>
        <v>1</v>
      </c>
      <c r="S152" s="5">
        <f t="shared" si="62"/>
        <v>225.67550344988683</v>
      </c>
      <c r="T152" s="5">
        <f t="shared" si="63"/>
        <v>203.10795310489814</v>
      </c>
      <c r="U152" s="5">
        <f>U150</f>
        <v>222.58367957979289</v>
      </c>
      <c r="V152" s="5">
        <f>V150</f>
        <v>200.32531162181357</v>
      </c>
      <c r="W152" s="62">
        <f t="shared" si="77"/>
        <v>0.86570247933884303</v>
      </c>
    </row>
    <row r="153" spans="2:23" x14ac:dyDescent="0.35">
      <c r="B153">
        <v>132</v>
      </c>
      <c r="C153" s="16" t="str">
        <f t="shared" si="61"/>
        <v>Wed</v>
      </c>
      <c r="D153" s="12">
        <v>44783</v>
      </c>
      <c r="E153">
        <f t="shared" si="60"/>
        <v>51</v>
      </c>
      <c r="F153" s="61">
        <f t="shared" si="64"/>
        <v>242</v>
      </c>
      <c r="G153" s="61">
        <f t="shared" si="65"/>
        <v>51</v>
      </c>
      <c r="H153" s="61">
        <f t="shared" si="66"/>
        <v>132</v>
      </c>
      <c r="I153" s="61">
        <f t="shared" si="67"/>
        <v>83</v>
      </c>
      <c r="J153" s="61">
        <f t="shared" si="68"/>
        <v>0</v>
      </c>
      <c r="K153" s="11">
        <f t="shared" si="69"/>
        <v>0.21074380165289255</v>
      </c>
      <c r="L153" s="11">
        <f t="shared" si="70"/>
        <v>9.0448005629737274E-2</v>
      </c>
      <c r="M153" s="11">
        <f t="shared" si="71"/>
        <v>0.6549586776859504</v>
      </c>
      <c r="N153" s="11">
        <f t="shared" si="72"/>
        <v>0.37386046411117868</v>
      </c>
      <c r="O153" s="11">
        <f t="shared" si="73"/>
        <v>0</v>
      </c>
      <c r="P153" s="11">
        <f t="shared" si="74"/>
        <v>0</v>
      </c>
      <c r="Q153" s="20">
        <f t="shared" si="75"/>
        <v>0.46430846974091594</v>
      </c>
      <c r="R153" s="20">
        <f t="shared" si="76"/>
        <v>1</v>
      </c>
      <c r="S153" s="5">
        <f t="shared" si="62"/>
        <v>226.18604265162688</v>
      </c>
      <c r="T153" s="5">
        <f t="shared" si="63"/>
        <v>203.5674383864642</v>
      </c>
      <c r="U153" s="5">
        <f>U150</f>
        <v>222.58367957979289</v>
      </c>
      <c r="V153" s="5">
        <f>V150</f>
        <v>200.32531162181357</v>
      </c>
      <c r="W153" s="62">
        <f t="shared" si="77"/>
        <v>0.86570247933884292</v>
      </c>
    </row>
    <row r="154" spans="2:23" x14ac:dyDescent="0.35">
      <c r="B154">
        <v>133</v>
      </c>
      <c r="C154" s="16" t="str">
        <f t="shared" si="61"/>
        <v>Thu</v>
      </c>
      <c r="D154" s="12">
        <v>44784</v>
      </c>
      <c r="E154">
        <f t="shared" ref="E154:E185" si="78">$AH$13-D154</f>
        <v>50</v>
      </c>
      <c r="F154" s="61">
        <f t="shared" si="64"/>
        <v>242</v>
      </c>
      <c r="G154" s="61">
        <f t="shared" si="65"/>
        <v>51</v>
      </c>
      <c r="H154" s="61">
        <f t="shared" si="66"/>
        <v>133</v>
      </c>
      <c r="I154" s="61">
        <f t="shared" si="67"/>
        <v>84</v>
      </c>
      <c r="J154" s="61">
        <f t="shared" si="68"/>
        <v>0</v>
      </c>
      <c r="K154" s="11">
        <f t="shared" si="69"/>
        <v>0.20661157024793389</v>
      </c>
      <c r="L154" s="11">
        <f t="shared" si="70"/>
        <v>8.8674515323271835E-2</v>
      </c>
      <c r="M154" s="11">
        <f t="shared" si="71"/>
        <v>0.65909090909090906</v>
      </c>
      <c r="N154" s="11">
        <f t="shared" si="72"/>
        <v>0.37621920520967189</v>
      </c>
      <c r="O154" s="11">
        <f t="shared" si="73"/>
        <v>0</v>
      </c>
      <c r="P154" s="11">
        <f t="shared" si="74"/>
        <v>0</v>
      </c>
      <c r="Q154" s="20">
        <f t="shared" si="75"/>
        <v>0.46489372053294375</v>
      </c>
      <c r="R154" s="20">
        <f t="shared" si="76"/>
        <v>0.99999999999999989</v>
      </c>
      <c r="S154" s="5">
        <f t="shared" si="62"/>
        <v>226.69529642635857</v>
      </c>
      <c r="T154" s="5">
        <f t="shared" si="63"/>
        <v>204.0257667837227</v>
      </c>
      <c r="U154" s="5">
        <f>U150</f>
        <v>222.58367957979289</v>
      </c>
      <c r="V154" s="5">
        <f>V150</f>
        <v>200.32531162181357</v>
      </c>
      <c r="W154" s="62">
        <f t="shared" si="77"/>
        <v>0.86570247933884292</v>
      </c>
    </row>
    <row r="155" spans="2:23" x14ac:dyDescent="0.35">
      <c r="B155">
        <v>134</v>
      </c>
      <c r="C155" s="16" t="str">
        <f t="shared" si="61"/>
        <v>Fri</v>
      </c>
      <c r="D155" s="12">
        <v>44785</v>
      </c>
      <c r="E155">
        <f t="shared" si="78"/>
        <v>49</v>
      </c>
      <c r="F155" s="61">
        <f t="shared" si="64"/>
        <v>242</v>
      </c>
      <c r="G155" s="61">
        <f t="shared" si="65"/>
        <v>51</v>
      </c>
      <c r="H155" s="61">
        <f t="shared" si="66"/>
        <v>134</v>
      </c>
      <c r="I155" s="61">
        <f t="shared" si="67"/>
        <v>85</v>
      </c>
      <c r="J155" s="61">
        <f t="shared" si="68"/>
        <v>0</v>
      </c>
      <c r="K155" s="11">
        <f t="shared" si="69"/>
        <v>0.2024793388429752</v>
      </c>
      <c r="L155" s="11">
        <f t="shared" si="70"/>
        <v>8.6901025016806396E-2</v>
      </c>
      <c r="M155" s="11">
        <f t="shared" si="71"/>
        <v>0.66322314049586772</v>
      </c>
      <c r="N155" s="11">
        <f t="shared" si="72"/>
        <v>0.37857794630816516</v>
      </c>
      <c r="O155" s="11">
        <f t="shared" si="73"/>
        <v>0</v>
      </c>
      <c r="P155" s="11">
        <f t="shared" si="74"/>
        <v>0</v>
      </c>
      <c r="Q155" s="20">
        <f t="shared" si="75"/>
        <v>0.46547897132497157</v>
      </c>
      <c r="R155" s="20">
        <f t="shared" si="76"/>
        <v>1</v>
      </c>
      <c r="S155" s="5">
        <f t="shared" si="62"/>
        <v>227.20326962261791</v>
      </c>
      <c r="T155" s="5">
        <f t="shared" si="63"/>
        <v>204.48294266035612</v>
      </c>
      <c r="U155" s="5">
        <f>U150</f>
        <v>222.58367957979289</v>
      </c>
      <c r="V155" s="5">
        <f>V150</f>
        <v>200.32531162181357</v>
      </c>
      <c r="W155" s="62">
        <f t="shared" si="77"/>
        <v>0.86570247933884292</v>
      </c>
    </row>
    <row r="156" spans="2:23" x14ac:dyDescent="0.35">
      <c r="B156">
        <v>135</v>
      </c>
      <c r="C156" s="16" t="str">
        <f t="shared" si="61"/>
        <v>Sat</v>
      </c>
      <c r="D156" s="12">
        <v>44786</v>
      </c>
      <c r="E156">
        <f t="shared" si="78"/>
        <v>48</v>
      </c>
      <c r="F156" s="61">
        <f t="shared" si="64"/>
        <v>242</v>
      </c>
      <c r="G156" s="61">
        <f t="shared" si="65"/>
        <v>51</v>
      </c>
      <c r="H156" s="61">
        <f t="shared" si="66"/>
        <v>135</v>
      </c>
      <c r="I156" s="61">
        <f t="shared" si="67"/>
        <v>86</v>
      </c>
      <c r="J156" s="61">
        <f t="shared" si="68"/>
        <v>0</v>
      </c>
      <c r="K156" s="11">
        <f t="shared" si="69"/>
        <v>0.19834710743801653</v>
      </c>
      <c r="L156" s="11">
        <f t="shared" si="70"/>
        <v>8.5127534710340971E-2</v>
      </c>
      <c r="M156" s="11">
        <f t="shared" si="71"/>
        <v>0.6673553719008265</v>
      </c>
      <c r="N156" s="11">
        <f t="shared" si="72"/>
        <v>0.38093668740665843</v>
      </c>
      <c r="O156" s="11">
        <f t="shared" si="73"/>
        <v>0</v>
      </c>
      <c r="P156" s="11">
        <f t="shared" si="74"/>
        <v>0</v>
      </c>
      <c r="Q156" s="20">
        <f t="shared" si="75"/>
        <v>0.46606422211699938</v>
      </c>
      <c r="R156" s="20">
        <f t="shared" si="76"/>
        <v>1</v>
      </c>
      <c r="S156" s="5">
        <f t="shared" si="62"/>
        <v>227.70996706458706</v>
      </c>
      <c r="T156" s="5">
        <f t="shared" si="63"/>
        <v>204.93897035812836</v>
      </c>
      <c r="U156" s="5">
        <f>U150</f>
        <v>222.58367957979289</v>
      </c>
      <c r="V156" s="5">
        <f>V150</f>
        <v>200.32531162181357</v>
      </c>
      <c r="W156" s="62">
        <f t="shared" si="77"/>
        <v>0.86570247933884303</v>
      </c>
    </row>
    <row r="157" spans="2:23" x14ac:dyDescent="0.35">
      <c r="B157">
        <v>136</v>
      </c>
      <c r="C157" s="16" t="str">
        <f t="shared" si="61"/>
        <v>Sun</v>
      </c>
      <c r="D157" s="12">
        <v>44787</v>
      </c>
      <c r="E157">
        <f t="shared" si="78"/>
        <v>47</v>
      </c>
      <c r="F157" s="61">
        <f t="shared" si="64"/>
        <v>242</v>
      </c>
      <c r="G157" s="61">
        <f t="shared" si="65"/>
        <v>51</v>
      </c>
      <c r="H157" s="61">
        <f t="shared" si="66"/>
        <v>136</v>
      </c>
      <c r="I157" s="61">
        <f t="shared" si="67"/>
        <v>87</v>
      </c>
      <c r="J157" s="61">
        <f t="shared" si="68"/>
        <v>0</v>
      </c>
      <c r="K157" s="11">
        <f t="shared" si="69"/>
        <v>0.19421487603305784</v>
      </c>
      <c r="L157" s="11">
        <f t="shared" si="70"/>
        <v>8.3354044403875518E-2</v>
      </c>
      <c r="M157" s="11">
        <f t="shared" si="71"/>
        <v>0.67148760330578516</v>
      </c>
      <c r="N157" s="11">
        <f t="shared" si="72"/>
        <v>0.38329542850515169</v>
      </c>
      <c r="O157" s="11">
        <f t="shared" si="73"/>
        <v>0</v>
      </c>
      <c r="P157" s="11">
        <f t="shared" si="74"/>
        <v>0</v>
      </c>
      <c r="Q157" s="20">
        <f t="shared" si="75"/>
        <v>0.4666494729090272</v>
      </c>
      <c r="R157" s="20">
        <f t="shared" si="76"/>
        <v>1</v>
      </c>
      <c r="S157" s="5">
        <f t="shared" si="62"/>
        <v>228.21539355224706</v>
      </c>
      <c r="T157" s="5">
        <f t="shared" si="63"/>
        <v>205.39385419702236</v>
      </c>
      <c r="U157" s="5">
        <f>AVERAGE(S151:S155)</f>
        <v>226.18475721971703</v>
      </c>
      <c r="V157" s="5">
        <f>AVERAGE(T151:T155)</f>
        <v>203.56628149774534</v>
      </c>
      <c r="W157" s="62">
        <f t="shared" si="77"/>
        <v>0.86570247933884303</v>
      </c>
    </row>
    <row r="158" spans="2:23" x14ac:dyDescent="0.35">
      <c r="B158">
        <v>137</v>
      </c>
      <c r="C158" s="16" t="str">
        <f t="shared" si="61"/>
        <v>Mon</v>
      </c>
      <c r="D158" s="12">
        <v>44788</v>
      </c>
      <c r="E158">
        <f t="shared" si="78"/>
        <v>46</v>
      </c>
      <c r="F158" s="61">
        <f t="shared" si="64"/>
        <v>242</v>
      </c>
      <c r="G158" s="61">
        <f t="shared" si="65"/>
        <v>51</v>
      </c>
      <c r="H158" s="61">
        <f t="shared" si="66"/>
        <v>137</v>
      </c>
      <c r="I158" s="61">
        <f t="shared" si="67"/>
        <v>88</v>
      </c>
      <c r="J158" s="61">
        <f t="shared" si="68"/>
        <v>0</v>
      </c>
      <c r="K158" s="11">
        <f t="shared" si="69"/>
        <v>0.19008264462809918</v>
      </c>
      <c r="L158" s="11">
        <f t="shared" si="70"/>
        <v>8.1580554097410093E-2</v>
      </c>
      <c r="M158" s="11">
        <f t="shared" si="71"/>
        <v>0.67561983471074383</v>
      </c>
      <c r="N158" s="11">
        <f t="shared" si="72"/>
        <v>0.3856541696036449</v>
      </c>
      <c r="O158" s="11">
        <f t="shared" si="73"/>
        <v>0</v>
      </c>
      <c r="P158" s="11">
        <f t="shared" si="74"/>
        <v>0</v>
      </c>
      <c r="Q158" s="20">
        <f t="shared" si="75"/>
        <v>0.46723472370105501</v>
      </c>
      <c r="R158" s="20">
        <f t="shared" si="76"/>
        <v>1</v>
      </c>
      <c r="S158" s="5">
        <f t="shared" si="62"/>
        <v>228.71955386152939</v>
      </c>
      <c r="T158" s="5">
        <f t="shared" si="63"/>
        <v>205.84759847537646</v>
      </c>
      <c r="U158" s="5">
        <f>U157</f>
        <v>226.18475721971703</v>
      </c>
      <c r="V158" s="5">
        <f>V157</f>
        <v>203.56628149774534</v>
      </c>
      <c r="W158" s="62">
        <f t="shared" si="77"/>
        <v>0.86570247933884303</v>
      </c>
    </row>
    <row r="159" spans="2:23" x14ac:dyDescent="0.35">
      <c r="B159">
        <v>138</v>
      </c>
      <c r="C159" s="16" t="str">
        <f t="shared" si="61"/>
        <v>Tue</v>
      </c>
      <c r="D159" s="12">
        <v>44789</v>
      </c>
      <c r="E159">
        <f t="shared" si="78"/>
        <v>45</v>
      </c>
      <c r="F159" s="61">
        <f t="shared" si="64"/>
        <v>242</v>
      </c>
      <c r="G159" s="61">
        <f t="shared" si="65"/>
        <v>51</v>
      </c>
      <c r="H159" s="61">
        <f t="shared" si="66"/>
        <v>138</v>
      </c>
      <c r="I159" s="61">
        <f t="shared" si="67"/>
        <v>89</v>
      </c>
      <c r="J159" s="61">
        <f t="shared" si="68"/>
        <v>0</v>
      </c>
      <c r="K159" s="11">
        <f t="shared" si="69"/>
        <v>0.18595041322314049</v>
      </c>
      <c r="L159" s="11">
        <f t="shared" si="70"/>
        <v>7.9807063790944655E-2</v>
      </c>
      <c r="M159" s="11">
        <f t="shared" si="71"/>
        <v>0.67975206611570249</v>
      </c>
      <c r="N159" s="11">
        <f t="shared" si="72"/>
        <v>0.38801291070213811</v>
      </c>
      <c r="O159" s="11">
        <f t="shared" si="73"/>
        <v>0</v>
      </c>
      <c r="P159" s="11">
        <f t="shared" si="74"/>
        <v>0</v>
      </c>
      <c r="Q159" s="20">
        <f t="shared" si="75"/>
        <v>0.46781997449308277</v>
      </c>
      <c r="R159" s="20">
        <f t="shared" si="76"/>
        <v>1</v>
      </c>
      <c r="S159" s="5">
        <f t="shared" si="62"/>
        <v>229.22245274446655</v>
      </c>
      <c r="T159" s="5">
        <f t="shared" si="63"/>
        <v>206.3002074700199</v>
      </c>
      <c r="U159" s="5">
        <f>U157</f>
        <v>226.18475721971703</v>
      </c>
      <c r="V159" s="5">
        <f>V157</f>
        <v>203.56628149774534</v>
      </c>
      <c r="W159" s="62">
        <f t="shared" si="77"/>
        <v>0.86570247933884303</v>
      </c>
    </row>
    <row r="160" spans="2:23" x14ac:dyDescent="0.35">
      <c r="B160">
        <v>139</v>
      </c>
      <c r="C160" s="16" t="str">
        <f t="shared" si="61"/>
        <v>Wed</v>
      </c>
      <c r="D160" s="12">
        <v>44790</v>
      </c>
      <c r="E160">
        <f t="shared" si="78"/>
        <v>44</v>
      </c>
      <c r="F160" s="61">
        <f t="shared" si="64"/>
        <v>242</v>
      </c>
      <c r="G160" s="61">
        <f t="shared" si="65"/>
        <v>51</v>
      </c>
      <c r="H160" s="61">
        <f t="shared" si="66"/>
        <v>139</v>
      </c>
      <c r="I160" s="61">
        <f t="shared" si="67"/>
        <v>90</v>
      </c>
      <c r="J160" s="61">
        <f t="shared" si="68"/>
        <v>0</v>
      </c>
      <c r="K160" s="11">
        <f t="shared" si="69"/>
        <v>0.18181818181818182</v>
      </c>
      <c r="L160" s="11">
        <f t="shared" si="70"/>
        <v>7.8033573484479216E-2</v>
      </c>
      <c r="M160" s="11">
        <f t="shared" si="71"/>
        <v>0.68388429752066116</v>
      </c>
      <c r="N160" s="11">
        <f t="shared" si="72"/>
        <v>0.39037165180063138</v>
      </c>
      <c r="O160" s="11">
        <f t="shared" si="73"/>
        <v>0</v>
      </c>
      <c r="P160" s="11">
        <f t="shared" si="74"/>
        <v>0</v>
      </c>
      <c r="Q160" s="20">
        <f t="shared" si="75"/>
        <v>0.46840522528511058</v>
      </c>
      <c r="R160" s="20">
        <f t="shared" si="76"/>
        <v>1</v>
      </c>
      <c r="S160" s="5">
        <f t="shared" si="62"/>
        <v>229.72409492934119</v>
      </c>
      <c r="T160" s="5">
        <f t="shared" si="63"/>
        <v>206.75168543640709</v>
      </c>
      <c r="U160" s="5">
        <f>U157</f>
        <v>226.18475721971703</v>
      </c>
      <c r="V160" s="5">
        <f>V157</f>
        <v>203.56628149774534</v>
      </c>
      <c r="W160" s="62">
        <f t="shared" si="77"/>
        <v>0.86570247933884303</v>
      </c>
    </row>
    <row r="161" spans="2:23" x14ac:dyDescent="0.35">
      <c r="B161">
        <v>140</v>
      </c>
      <c r="C161" s="16" t="str">
        <f t="shared" si="61"/>
        <v>Thu</v>
      </c>
      <c r="D161" s="12">
        <v>44791</v>
      </c>
      <c r="E161">
        <f t="shared" si="78"/>
        <v>43</v>
      </c>
      <c r="F161" s="61">
        <f t="shared" si="64"/>
        <v>242</v>
      </c>
      <c r="G161" s="61">
        <f t="shared" si="65"/>
        <v>51</v>
      </c>
      <c r="H161" s="61">
        <f t="shared" si="66"/>
        <v>140</v>
      </c>
      <c r="I161" s="61">
        <f t="shared" si="67"/>
        <v>91</v>
      </c>
      <c r="J161" s="61">
        <f t="shared" si="68"/>
        <v>0</v>
      </c>
      <c r="K161" s="11">
        <f t="shared" si="69"/>
        <v>0.17768595041322313</v>
      </c>
      <c r="L161" s="11">
        <f t="shared" si="70"/>
        <v>7.6260083178013777E-2</v>
      </c>
      <c r="M161" s="11">
        <f t="shared" si="71"/>
        <v>0.68801652892561982</v>
      </c>
      <c r="N161" s="11">
        <f t="shared" si="72"/>
        <v>0.39273039289912459</v>
      </c>
      <c r="O161" s="11">
        <f t="shared" si="73"/>
        <v>0</v>
      </c>
      <c r="P161" s="11">
        <f t="shared" si="74"/>
        <v>0</v>
      </c>
      <c r="Q161" s="20">
        <f t="shared" si="75"/>
        <v>0.4689904760771384</v>
      </c>
      <c r="R161" s="20">
        <f t="shared" si="76"/>
        <v>1</v>
      </c>
      <c r="S161" s="5">
        <f t="shared" si="62"/>
        <v>230.22448512083434</v>
      </c>
      <c r="T161" s="5">
        <f t="shared" si="63"/>
        <v>207.20203660875092</v>
      </c>
      <c r="U161" s="5">
        <f>U157</f>
        <v>226.18475721971703</v>
      </c>
      <c r="V161" s="5">
        <f>V157</f>
        <v>203.56628149774534</v>
      </c>
      <c r="W161" s="62">
        <f t="shared" si="77"/>
        <v>0.86570247933884292</v>
      </c>
    </row>
    <row r="162" spans="2:23" x14ac:dyDescent="0.35">
      <c r="B162">
        <v>141</v>
      </c>
      <c r="C162" s="16" t="str">
        <f t="shared" si="61"/>
        <v>Fri</v>
      </c>
      <c r="D162" s="12">
        <v>44792</v>
      </c>
      <c r="E162">
        <f t="shared" si="78"/>
        <v>42</v>
      </c>
      <c r="F162" s="61">
        <f t="shared" si="64"/>
        <v>242</v>
      </c>
      <c r="G162" s="61">
        <f t="shared" si="65"/>
        <v>51</v>
      </c>
      <c r="H162" s="61">
        <f t="shared" si="66"/>
        <v>141</v>
      </c>
      <c r="I162" s="61">
        <f t="shared" si="67"/>
        <v>92</v>
      </c>
      <c r="J162" s="61">
        <f t="shared" si="68"/>
        <v>0</v>
      </c>
      <c r="K162" s="11">
        <f t="shared" si="69"/>
        <v>0.17355371900826447</v>
      </c>
      <c r="L162" s="11">
        <f t="shared" si="70"/>
        <v>7.4486592871548352E-2</v>
      </c>
      <c r="M162" s="11">
        <f t="shared" si="71"/>
        <v>0.69214876033057848</v>
      </c>
      <c r="N162" s="11">
        <f t="shared" si="72"/>
        <v>0.39508913399761786</v>
      </c>
      <c r="O162" s="11">
        <f t="shared" si="73"/>
        <v>0</v>
      </c>
      <c r="P162" s="11">
        <f t="shared" si="74"/>
        <v>0</v>
      </c>
      <c r="Q162" s="20">
        <f t="shared" si="75"/>
        <v>0.46957572686916621</v>
      </c>
      <c r="R162" s="20">
        <f t="shared" si="76"/>
        <v>1</v>
      </c>
      <c r="S162" s="5">
        <f t="shared" si="62"/>
        <v>230.72362800017254</v>
      </c>
      <c r="T162" s="5">
        <f t="shared" si="63"/>
        <v>207.65126520015528</v>
      </c>
      <c r="U162" s="5">
        <f>U157</f>
        <v>226.18475721971703</v>
      </c>
      <c r="V162" s="5">
        <f>V157</f>
        <v>203.56628149774534</v>
      </c>
      <c r="W162" s="62">
        <f t="shared" si="77"/>
        <v>0.86570247933884292</v>
      </c>
    </row>
    <row r="163" spans="2:23" x14ac:dyDescent="0.35">
      <c r="B163">
        <v>142</v>
      </c>
      <c r="C163" s="16" t="str">
        <f t="shared" si="61"/>
        <v>Sat</v>
      </c>
      <c r="D163" s="12">
        <v>44793</v>
      </c>
      <c r="E163">
        <f t="shared" si="78"/>
        <v>41</v>
      </c>
      <c r="F163" s="61">
        <f t="shared" si="64"/>
        <v>242</v>
      </c>
      <c r="G163" s="61">
        <f t="shared" si="65"/>
        <v>51</v>
      </c>
      <c r="H163" s="61">
        <f t="shared" si="66"/>
        <v>142</v>
      </c>
      <c r="I163" s="61">
        <f t="shared" si="67"/>
        <v>93</v>
      </c>
      <c r="J163" s="61">
        <f t="shared" si="68"/>
        <v>0</v>
      </c>
      <c r="K163" s="11">
        <f t="shared" si="69"/>
        <v>0.16942148760330578</v>
      </c>
      <c r="L163" s="11">
        <f t="shared" si="70"/>
        <v>7.2713102565082899E-2</v>
      </c>
      <c r="M163" s="11">
        <f t="shared" si="71"/>
        <v>0.69628099173553715</v>
      </c>
      <c r="N163" s="11">
        <f t="shared" si="72"/>
        <v>0.39744787509611107</v>
      </c>
      <c r="O163" s="11">
        <f t="shared" si="73"/>
        <v>0</v>
      </c>
      <c r="P163" s="11">
        <f t="shared" si="74"/>
        <v>0</v>
      </c>
      <c r="Q163" s="20">
        <f t="shared" si="75"/>
        <v>0.47016097766119397</v>
      </c>
      <c r="R163" s="20">
        <f t="shared" si="76"/>
        <v>1</v>
      </c>
      <c r="S163" s="5">
        <f t="shared" si="62"/>
        <v>231.2215282252738</v>
      </c>
      <c r="T163" s="5">
        <f t="shared" si="63"/>
        <v>208.09937540274643</v>
      </c>
      <c r="U163" s="5">
        <f>U157</f>
        <v>226.18475721971703</v>
      </c>
      <c r="V163" s="5">
        <f>V157</f>
        <v>203.56628149774534</v>
      </c>
      <c r="W163" s="62">
        <f t="shared" si="77"/>
        <v>0.86570247933884292</v>
      </c>
    </row>
    <row r="164" spans="2:23" x14ac:dyDescent="0.35">
      <c r="B164">
        <v>143</v>
      </c>
      <c r="C164" s="16" t="str">
        <f t="shared" si="61"/>
        <v>Sun</v>
      </c>
      <c r="D164" s="12">
        <v>44794</v>
      </c>
      <c r="E164">
        <f t="shared" si="78"/>
        <v>40</v>
      </c>
      <c r="F164" s="61">
        <f t="shared" si="64"/>
        <v>242</v>
      </c>
      <c r="G164" s="61">
        <f t="shared" si="65"/>
        <v>51</v>
      </c>
      <c r="H164" s="61">
        <f t="shared" si="66"/>
        <v>143</v>
      </c>
      <c r="I164" s="61">
        <f t="shared" si="67"/>
        <v>94</v>
      </c>
      <c r="J164" s="61">
        <f t="shared" si="68"/>
        <v>0</v>
      </c>
      <c r="K164" s="11">
        <f t="shared" si="69"/>
        <v>0.16528925619834711</v>
      </c>
      <c r="L164" s="11">
        <f t="shared" si="70"/>
        <v>7.0939612258617474E-2</v>
      </c>
      <c r="M164" s="11">
        <f t="shared" si="71"/>
        <v>0.70041322314049592</v>
      </c>
      <c r="N164" s="11">
        <f t="shared" si="72"/>
        <v>0.39980661619460439</v>
      </c>
      <c r="O164" s="11">
        <f t="shared" si="73"/>
        <v>0</v>
      </c>
      <c r="P164" s="11">
        <f t="shared" si="74"/>
        <v>0</v>
      </c>
      <c r="Q164" s="20">
        <f t="shared" si="75"/>
        <v>0.47074622845322189</v>
      </c>
      <c r="R164" s="20">
        <f t="shared" si="76"/>
        <v>1</v>
      </c>
      <c r="S164" s="5">
        <f t="shared" si="62"/>
        <v>231.71819043089246</v>
      </c>
      <c r="T164" s="5">
        <f t="shared" si="63"/>
        <v>208.54637138780322</v>
      </c>
      <c r="U164" s="5">
        <f>AVERAGE(S158:S162)</f>
        <v>229.72284293126881</v>
      </c>
      <c r="V164" s="5">
        <f>AVERAGE(T158:T162)</f>
        <v>206.75055863814191</v>
      </c>
      <c r="W164" s="62">
        <f t="shared" si="77"/>
        <v>0.86570247933884303</v>
      </c>
    </row>
    <row r="165" spans="2:23" x14ac:dyDescent="0.35">
      <c r="B165">
        <v>144</v>
      </c>
      <c r="C165" s="16" t="str">
        <f t="shared" si="61"/>
        <v>Mon</v>
      </c>
      <c r="D165" s="12">
        <v>44795</v>
      </c>
      <c r="E165">
        <f t="shared" si="78"/>
        <v>39</v>
      </c>
      <c r="F165" s="61">
        <f t="shared" si="64"/>
        <v>242</v>
      </c>
      <c r="G165" s="61">
        <f t="shared" si="65"/>
        <v>51</v>
      </c>
      <c r="H165" s="61">
        <f t="shared" si="66"/>
        <v>144</v>
      </c>
      <c r="I165" s="61">
        <f t="shared" si="67"/>
        <v>95</v>
      </c>
      <c r="J165" s="61">
        <f t="shared" si="68"/>
        <v>0</v>
      </c>
      <c r="K165" s="11">
        <f t="shared" si="69"/>
        <v>0.16115702479338842</v>
      </c>
      <c r="L165" s="11">
        <f t="shared" si="70"/>
        <v>6.9166121952152035E-2</v>
      </c>
      <c r="M165" s="11">
        <f t="shared" si="71"/>
        <v>0.70454545454545459</v>
      </c>
      <c r="N165" s="11">
        <f t="shared" si="72"/>
        <v>0.4021653572930976</v>
      </c>
      <c r="O165" s="11">
        <f t="shared" si="73"/>
        <v>0</v>
      </c>
      <c r="P165" s="11">
        <f t="shared" si="74"/>
        <v>0</v>
      </c>
      <c r="Q165" s="20">
        <f t="shared" si="75"/>
        <v>0.47133147924524965</v>
      </c>
      <c r="R165" s="20">
        <f t="shared" si="76"/>
        <v>1</v>
      </c>
      <c r="S165" s="5">
        <f t="shared" si="62"/>
        <v>232.21361922876304</v>
      </c>
      <c r="T165" s="5">
        <f t="shared" si="63"/>
        <v>208.99225730588674</v>
      </c>
      <c r="U165" s="5">
        <f>U164</f>
        <v>229.72284293126881</v>
      </c>
      <c r="V165" s="5">
        <f>V164</f>
        <v>206.75055863814191</v>
      </c>
      <c r="W165" s="62">
        <f t="shared" si="77"/>
        <v>0.86570247933884303</v>
      </c>
    </row>
    <row r="166" spans="2:23" x14ac:dyDescent="0.35">
      <c r="B166">
        <v>145</v>
      </c>
      <c r="C166" s="16" t="str">
        <f t="shared" si="61"/>
        <v>Tue</v>
      </c>
      <c r="D166" s="12">
        <v>44796</v>
      </c>
      <c r="E166">
        <f t="shared" si="78"/>
        <v>38</v>
      </c>
      <c r="F166" s="61">
        <f t="shared" si="64"/>
        <v>242</v>
      </c>
      <c r="G166" s="61">
        <f t="shared" si="65"/>
        <v>51</v>
      </c>
      <c r="H166" s="61">
        <f t="shared" si="66"/>
        <v>145</v>
      </c>
      <c r="I166" s="61">
        <f t="shared" si="67"/>
        <v>96</v>
      </c>
      <c r="J166" s="61">
        <f t="shared" si="68"/>
        <v>0</v>
      </c>
      <c r="K166" s="11">
        <f t="shared" si="69"/>
        <v>0.15702479338842976</v>
      </c>
      <c r="L166" s="11">
        <f t="shared" si="70"/>
        <v>6.7392631645686596E-2</v>
      </c>
      <c r="M166" s="11">
        <f t="shared" si="71"/>
        <v>0.70867768595041325</v>
      </c>
      <c r="N166" s="11">
        <f t="shared" si="72"/>
        <v>0.40452409839159081</v>
      </c>
      <c r="O166" s="11">
        <f t="shared" si="73"/>
        <v>0</v>
      </c>
      <c r="P166" s="11">
        <f t="shared" si="74"/>
        <v>0</v>
      </c>
      <c r="Q166" s="20">
        <f t="shared" si="75"/>
        <v>0.47191673003727741</v>
      </c>
      <c r="R166" s="20">
        <f t="shared" si="76"/>
        <v>1</v>
      </c>
      <c r="S166" s="5">
        <f t="shared" si="62"/>
        <v>232.70781920774297</v>
      </c>
      <c r="T166" s="5">
        <f t="shared" si="63"/>
        <v>209.43703728696869</v>
      </c>
      <c r="U166" s="5">
        <f>U164</f>
        <v>229.72284293126881</v>
      </c>
      <c r="V166" s="5">
        <f>V164</f>
        <v>206.75055863814191</v>
      </c>
      <c r="W166" s="62">
        <f t="shared" si="77"/>
        <v>0.86570247933884303</v>
      </c>
    </row>
    <row r="167" spans="2:23" x14ac:dyDescent="0.35">
      <c r="B167">
        <v>146</v>
      </c>
      <c r="C167" s="16" t="str">
        <f t="shared" si="61"/>
        <v>Wed</v>
      </c>
      <c r="D167" s="12">
        <v>44797</v>
      </c>
      <c r="E167">
        <f t="shared" si="78"/>
        <v>37</v>
      </c>
      <c r="F167" s="61">
        <f t="shared" si="64"/>
        <v>242</v>
      </c>
      <c r="G167" s="61">
        <f t="shared" si="65"/>
        <v>51</v>
      </c>
      <c r="H167" s="61">
        <f t="shared" si="66"/>
        <v>146</v>
      </c>
      <c r="I167" s="61">
        <f t="shared" si="67"/>
        <v>97</v>
      </c>
      <c r="J167" s="61">
        <f t="shared" si="68"/>
        <v>0</v>
      </c>
      <c r="K167" s="11">
        <f t="shared" si="69"/>
        <v>0.15289256198347106</v>
      </c>
      <c r="L167" s="11">
        <f t="shared" si="70"/>
        <v>6.5619141339221157E-2</v>
      </c>
      <c r="M167" s="11">
        <f t="shared" si="71"/>
        <v>0.71280991735537191</v>
      </c>
      <c r="N167" s="11">
        <f t="shared" si="72"/>
        <v>0.40688283949008408</v>
      </c>
      <c r="O167" s="11">
        <f t="shared" si="73"/>
        <v>0</v>
      </c>
      <c r="P167" s="11">
        <f t="shared" si="74"/>
        <v>0</v>
      </c>
      <c r="Q167" s="20">
        <f t="shared" si="75"/>
        <v>0.47250198082930522</v>
      </c>
      <c r="R167" s="20">
        <f t="shared" si="76"/>
        <v>1</v>
      </c>
      <c r="S167" s="5">
        <f t="shared" si="62"/>
        <v>233.2007949339542</v>
      </c>
      <c r="T167" s="5">
        <f t="shared" si="63"/>
        <v>209.88071544055879</v>
      </c>
      <c r="U167" s="5">
        <f>U164</f>
        <v>229.72284293126881</v>
      </c>
      <c r="V167" s="5">
        <f>V164</f>
        <v>206.75055863814191</v>
      </c>
      <c r="W167" s="62">
        <f t="shared" si="77"/>
        <v>0.86570247933884303</v>
      </c>
    </row>
    <row r="168" spans="2:23" x14ac:dyDescent="0.35">
      <c r="B168">
        <v>147</v>
      </c>
      <c r="C168" s="16" t="str">
        <f t="shared" si="61"/>
        <v>Thu</v>
      </c>
      <c r="D168" s="12">
        <v>44798</v>
      </c>
      <c r="E168">
        <f t="shared" si="78"/>
        <v>36</v>
      </c>
      <c r="F168" s="61">
        <f t="shared" si="64"/>
        <v>242</v>
      </c>
      <c r="G168" s="61">
        <f t="shared" si="65"/>
        <v>51</v>
      </c>
      <c r="H168" s="61">
        <f t="shared" si="66"/>
        <v>147</v>
      </c>
      <c r="I168" s="61">
        <f t="shared" si="67"/>
        <v>98</v>
      </c>
      <c r="J168" s="61">
        <f t="shared" si="68"/>
        <v>0</v>
      </c>
      <c r="K168" s="11">
        <f t="shared" si="69"/>
        <v>0.1487603305785124</v>
      </c>
      <c r="L168" s="11">
        <f t="shared" si="70"/>
        <v>6.3845651032755718E-2</v>
      </c>
      <c r="M168" s="11">
        <f t="shared" si="71"/>
        <v>0.71694214876033058</v>
      </c>
      <c r="N168" s="11">
        <f t="shared" si="72"/>
        <v>0.40924158058857729</v>
      </c>
      <c r="O168" s="11">
        <f t="shared" si="73"/>
        <v>0</v>
      </c>
      <c r="P168" s="11">
        <f t="shared" si="74"/>
        <v>0</v>
      </c>
      <c r="Q168" s="20">
        <f t="shared" si="75"/>
        <v>0.47308723162133304</v>
      </c>
      <c r="R168" s="20">
        <f t="shared" si="76"/>
        <v>1</v>
      </c>
      <c r="S168" s="5">
        <f t="shared" si="62"/>
        <v>233.69255095092396</v>
      </c>
      <c r="T168" s="5">
        <f t="shared" si="63"/>
        <v>210.32329585583156</v>
      </c>
      <c r="U168" s="5">
        <f>U164</f>
        <v>229.72284293126881</v>
      </c>
      <c r="V168" s="5">
        <f>V164</f>
        <v>206.75055863814191</v>
      </c>
      <c r="W168" s="62">
        <f t="shared" si="77"/>
        <v>0.86570247933884303</v>
      </c>
    </row>
    <row r="169" spans="2:23" x14ac:dyDescent="0.35">
      <c r="B169">
        <v>148</v>
      </c>
      <c r="C169" s="16" t="str">
        <f t="shared" si="61"/>
        <v>Fri</v>
      </c>
      <c r="D169" s="12">
        <v>44799</v>
      </c>
      <c r="E169">
        <f t="shared" si="78"/>
        <v>35</v>
      </c>
      <c r="F169" s="61">
        <f t="shared" si="64"/>
        <v>242</v>
      </c>
      <c r="G169" s="61">
        <f t="shared" si="65"/>
        <v>51</v>
      </c>
      <c r="H169" s="61">
        <f t="shared" si="66"/>
        <v>148</v>
      </c>
      <c r="I169" s="61">
        <f t="shared" si="67"/>
        <v>99</v>
      </c>
      <c r="J169" s="61">
        <f t="shared" si="68"/>
        <v>0</v>
      </c>
      <c r="K169" s="11">
        <f t="shared" si="69"/>
        <v>0.14462809917355371</v>
      </c>
      <c r="L169" s="11">
        <f t="shared" si="70"/>
        <v>6.2072160726290279E-2</v>
      </c>
      <c r="M169" s="11">
        <f t="shared" si="71"/>
        <v>0.72107438016528924</v>
      </c>
      <c r="N169" s="11">
        <f t="shared" si="72"/>
        <v>0.41160032168707056</v>
      </c>
      <c r="O169" s="11">
        <f t="shared" si="73"/>
        <v>0</v>
      </c>
      <c r="P169" s="11">
        <f t="shared" si="74"/>
        <v>0</v>
      </c>
      <c r="Q169" s="20">
        <f t="shared" si="75"/>
        <v>0.47367248241336085</v>
      </c>
      <c r="R169" s="20">
        <f t="shared" si="76"/>
        <v>1</v>
      </c>
      <c r="S169" s="5">
        <f t="shared" si="62"/>
        <v>234.18309177972426</v>
      </c>
      <c r="T169" s="5">
        <f t="shared" si="63"/>
        <v>210.76478260175185</v>
      </c>
      <c r="U169" s="5">
        <f>U164</f>
        <v>229.72284293126881</v>
      </c>
      <c r="V169" s="5">
        <f>V164</f>
        <v>206.75055863814191</v>
      </c>
      <c r="W169" s="62">
        <f t="shared" si="77"/>
        <v>0.86570247933884292</v>
      </c>
    </row>
    <row r="170" spans="2:23" x14ac:dyDescent="0.35">
      <c r="B170">
        <v>149</v>
      </c>
      <c r="C170" s="16" t="str">
        <f t="shared" si="61"/>
        <v>Sat</v>
      </c>
      <c r="D170" s="12">
        <v>44800</v>
      </c>
      <c r="E170">
        <f t="shared" si="78"/>
        <v>34</v>
      </c>
      <c r="F170" s="61">
        <f t="shared" si="64"/>
        <v>242</v>
      </c>
      <c r="G170" s="61">
        <f t="shared" si="65"/>
        <v>51</v>
      </c>
      <c r="H170" s="61">
        <f t="shared" si="66"/>
        <v>149</v>
      </c>
      <c r="I170" s="61">
        <f t="shared" si="67"/>
        <v>100</v>
      </c>
      <c r="J170" s="61">
        <f t="shared" si="68"/>
        <v>0</v>
      </c>
      <c r="K170" s="11">
        <f t="shared" si="69"/>
        <v>0.14049586776859505</v>
      </c>
      <c r="L170" s="11">
        <f t="shared" si="70"/>
        <v>6.0298670419824854E-2</v>
      </c>
      <c r="M170" s="11">
        <f t="shared" si="71"/>
        <v>0.72520661157024791</v>
      </c>
      <c r="N170" s="11">
        <f t="shared" si="72"/>
        <v>0.41395906278556377</v>
      </c>
      <c r="O170" s="11">
        <f t="shared" si="73"/>
        <v>0</v>
      </c>
      <c r="P170" s="11">
        <f t="shared" si="74"/>
        <v>0</v>
      </c>
      <c r="Q170" s="20">
        <f t="shared" si="75"/>
        <v>0.47425773320538861</v>
      </c>
      <c r="R170" s="20">
        <f t="shared" si="76"/>
        <v>1</v>
      </c>
      <c r="S170" s="5">
        <f t="shared" si="62"/>
        <v>234.67242191911043</v>
      </c>
      <c r="T170" s="5">
        <f t="shared" si="63"/>
        <v>211.20517972719941</v>
      </c>
      <c r="U170" s="5">
        <f>U164</f>
        <v>229.72284293126881</v>
      </c>
      <c r="V170" s="5">
        <f>V164</f>
        <v>206.75055863814191</v>
      </c>
      <c r="W170" s="62">
        <f t="shared" si="77"/>
        <v>0.86570247933884292</v>
      </c>
    </row>
    <row r="171" spans="2:23" x14ac:dyDescent="0.35">
      <c r="B171">
        <v>150</v>
      </c>
      <c r="C171" s="16" t="str">
        <f t="shared" si="61"/>
        <v>Sun</v>
      </c>
      <c r="D171" s="12">
        <v>44801</v>
      </c>
      <c r="E171">
        <f t="shared" si="78"/>
        <v>33</v>
      </c>
      <c r="F171" s="61">
        <f t="shared" si="64"/>
        <v>242</v>
      </c>
      <c r="G171" s="61">
        <f t="shared" si="65"/>
        <v>51</v>
      </c>
      <c r="H171" s="61">
        <f t="shared" si="66"/>
        <v>150</v>
      </c>
      <c r="I171" s="61">
        <f t="shared" si="67"/>
        <v>101</v>
      </c>
      <c r="J171" s="61">
        <f t="shared" si="68"/>
        <v>0</v>
      </c>
      <c r="K171" s="11">
        <f t="shared" si="69"/>
        <v>0.13636363636363635</v>
      </c>
      <c r="L171" s="11">
        <f t="shared" si="70"/>
        <v>5.8525180113359408E-2</v>
      </c>
      <c r="M171" s="11">
        <f t="shared" si="71"/>
        <v>0.72933884297520657</v>
      </c>
      <c r="N171" s="11">
        <f t="shared" si="72"/>
        <v>0.41631780388405698</v>
      </c>
      <c r="O171" s="11">
        <f t="shared" si="73"/>
        <v>0</v>
      </c>
      <c r="P171" s="11">
        <f t="shared" si="74"/>
        <v>0</v>
      </c>
      <c r="Q171" s="20">
        <f t="shared" si="75"/>
        <v>0.47484298399741637</v>
      </c>
      <c r="R171" s="20">
        <f t="shared" si="76"/>
        <v>1</v>
      </c>
      <c r="S171" s="5">
        <f t="shared" si="62"/>
        <v>235.1605458456587</v>
      </c>
      <c r="T171" s="5">
        <f t="shared" si="63"/>
        <v>211.64449126109284</v>
      </c>
      <c r="U171" s="5">
        <f>AVERAGE(S165:S169)</f>
        <v>233.19957522022167</v>
      </c>
      <c r="V171" s="5">
        <f>AVERAGE(T165:T169)</f>
        <v>209.87961769819952</v>
      </c>
      <c r="W171" s="62">
        <f t="shared" si="77"/>
        <v>0.86570247933884292</v>
      </c>
    </row>
    <row r="172" spans="2:23" x14ac:dyDescent="0.35">
      <c r="B172">
        <v>151</v>
      </c>
      <c r="C172" s="16" t="str">
        <f t="shared" si="61"/>
        <v>Mon</v>
      </c>
      <c r="D172" s="68">
        <v>44802</v>
      </c>
      <c r="E172">
        <f t="shared" si="78"/>
        <v>32</v>
      </c>
      <c r="F172" s="61">
        <f t="shared" si="64"/>
        <v>242</v>
      </c>
      <c r="G172" s="61">
        <f t="shared" si="65"/>
        <v>51</v>
      </c>
      <c r="H172" s="61">
        <f t="shared" si="66"/>
        <v>151</v>
      </c>
      <c r="I172" s="61">
        <f t="shared" si="67"/>
        <v>102</v>
      </c>
      <c r="J172" s="61">
        <f t="shared" si="68"/>
        <v>0</v>
      </c>
      <c r="K172" s="11">
        <f t="shared" si="69"/>
        <v>0.13223140495867769</v>
      </c>
      <c r="L172" s="11">
        <f t="shared" si="70"/>
        <v>5.6751689806893976E-2</v>
      </c>
      <c r="M172" s="11">
        <f t="shared" si="71"/>
        <v>0.73347107438016534</v>
      </c>
      <c r="N172" s="11">
        <f t="shared" si="72"/>
        <v>0.4186765449825503</v>
      </c>
      <c r="O172" s="11">
        <f t="shared" si="73"/>
        <v>0</v>
      </c>
      <c r="P172" s="11">
        <f t="shared" si="74"/>
        <v>0</v>
      </c>
      <c r="Q172" s="20">
        <f t="shared" si="75"/>
        <v>0.47542823478944429</v>
      </c>
      <c r="R172" s="20">
        <f t="shared" si="76"/>
        <v>0.99999999999999989</v>
      </c>
      <c r="S172" s="5">
        <f t="shared" si="62"/>
        <v>235.64746801390277</v>
      </c>
      <c r="T172" s="5">
        <f t="shared" si="63"/>
        <v>212.0827212125125</v>
      </c>
      <c r="U172" s="5">
        <f>U171</f>
        <v>233.19957522022167</v>
      </c>
      <c r="V172" s="5">
        <f>V171</f>
        <v>209.87961769819952</v>
      </c>
      <c r="W172" s="62">
        <f t="shared" si="77"/>
        <v>0.86570247933884303</v>
      </c>
    </row>
    <row r="173" spans="2:23" x14ac:dyDescent="0.35">
      <c r="B173">
        <v>152</v>
      </c>
      <c r="C173" s="16" t="str">
        <f t="shared" si="61"/>
        <v>Tue</v>
      </c>
      <c r="D173" s="12">
        <v>44803</v>
      </c>
      <c r="E173">
        <f t="shared" si="78"/>
        <v>31</v>
      </c>
      <c r="F173" s="61">
        <f t="shared" si="64"/>
        <v>242</v>
      </c>
      <c r="G173" s="61">
        <f t="shared" si="65"/>
        <v>51</v>
      </c>
      <c r="H173" s="61">
        <f t="shared" si="66"/>
        <v>152</v>
      </c>
      <c r="I173" s="61">
        <f t="shared" si="67"/>
        <v>103</v>
      </c>
      <c r="J173" s="61">
        <f t="shared" si="68"/>
        <v>0</v>
      </c>
      <c r="K173" s="11">
        <f t="shared" si="69"/>
        <v>0.128099173553719</v>
      </c>
      <c r="L173" s="11">
        <f t="shared" si="70"/>
        <v>5.4978199500428537E-2</v>
      </c>
      <c r="M173" s="11">
        <f t="shared" si="71"/>
        <v>0.73760330578512401</v>
      </c>
      <c r="N173" s="11">
        <f t="shared" si="72"/>
        <v>0.42103528608104351</v>
      </c>
      <c r="O173" s="11">
        <f t="shared" si="73"/>
        <v>0</v>
      </c>
      <c r="P173" s="11">
        <f t="shared" si="74"/>
        <v>0</v>
      </c>
      <c r="Q173" s="20">
        <f t="shared" si="75"/>
        <v>0.47601348558147205</v>
      </c>
      <c r="R173" s="20">
        <f t="shared" si="76"/>
        <v>1</v>
      </c>
      <c r="S173" s="5">
        <f t="shared" si="62"/>
        <v>236.13319285646904</v>
      </c>
      <c r="T173" s="5">
        <f t="shared" si="63"/>
        <v>212.51987357082214</v>
      </c>
      <c r="U173" s="5">
        <f>U171</f>
        <v>233.19957522022167</v>
      </c>
      <c r="V173" s="5">
        <f>V171</f>
        <v>209.87961769819952</v>
      </c>
      <c r="W173" s="62">
        <f t="shared" si="77"/>
        <v>0.86570247933884303</v>
      </c>
    </row>
    <row r="174" spans="2:23" x14ac:dyDescent="0.35">
      <c r="B174">
        <v>153</v>
      </c>
      <c r="C174" s="16" t="str">
        <f t="shared" si="61"/>
        <v>Wed</v>
      </c>
      <c r="D174" s="12">
        <v>44804</v>
      </c>
      <c r="E174">
        <f t="shared" si="78"/>
        <v>30</v>
      </c>
      <c r="F174" s="61">
        <f t="shared" si="64"/>
        <v>242</v>
      </c>
      <c r="G174" s="61">
        <f t="shared" si="65"/>
        <v>51</v>
      </c>
      <c r="H174" s="61">
        <f t="shared" si="66"/>
        <v>153</v>
      </c>
      <c r="I174" s="61">
        <f t="shared" si="67"/>
        <v>104</v>
      </c>
      <c r="J174" s="61">
        <f t="shared" si="68"/>
        <v>0</v>
      </c>
      <c r="K174" s="11">
        <f t="shared" si="69"/>
        <v>0.12396694214876033</v>
      </c>
      <c r="L174" s="11">
        <f t="shared" si="70"/>
        <v>5.3204709193963105E-2</v>
      </c>
      <c r="M174" s="11">
        <f t="shared" si="71"/>
        <v>0.74173553719008267</v>
      </c>
      <c r="N174" s="11">
        <f t="shared" si="72"/>
        <v>0.42339402717953678</v>
      </c>
      <c r="O174" s="11">
        <f t="shared" si="73"/>
        <v>0</v>
      </c>
      <c r="P174" s="11">
        <f t="shared" si="74"/>
        <v>0</v>
      </c>
      <c r="Q174" s="20">
        <f t="shared" si="75"/>
        <v>0.47659873637349986</v>
      </c>
      <c r="R174" s="20">
        <f t="shared" si="76"/>
        <v>1</v>
      </c>
      <c r="S174" s="5">
        <f t="shared" si="62"/>
        <v>236.61772478421148</v>
      </c>
      <c r="T174" s="5">
        <f t="shared" si="63"/>
        <v>212.95595230579033</v>
      </c>
      <c r="U174" s="5">
        <f>U171</f>
        <v>233.19957522022167</v>
      </c>
      <c r="V174" s="5">
        <f>V171</f>
        <v>209.87961769819952</v>
      </c>
      <c r="W174" s="62">
        <f t="shared" si="77"/>
        <v>0.86570247933884303</v>
      </c>
    </row>
    <row r="175" spans="2:23" x14ac:dyDescent="0.35">
      <c r="B175">
        <v>154</v>
      </c>
      <c r="C175" s="16" t="str">
        <f t="shared" si="61"/>
        <v>Thu</v>
      </c>
      <c r="D175" s="12">
        <v>44805</v>
      </c>
      <c r="E175">
        <f t="shared" si="78"/>
        <v>29</v>
      </c>
      <c r="F175" s="61">
        <f t="shared" si="64"/>
        <v>242</v>
      </c>
      <c r="G175" s="61">
        <f t="shared" si="65"/>
        <v>51</v>
      </c>
      <c r="H175" s="61">
        <f t="shared" si="66"/>
        <v>154</v>
      </c>
      <c r="I175" s="61">
        <f t="shared" si="67"/>
        <v>105</v>
      </c>
      <c r="J175" s="61">
        <f>IF(D175&lt;$D$175,0,B175-153)</f>
        <v>1</v>
      </c>
      <c r="K175" s="11">
        <f t="shared" si="69"/>
        <v>0.11983471074380166</v>
      </c>
      <c r="L175" s="11">
        <f t="shared" si="70"/>
        <v>5.1431218887497666E-2</v>
      </c>
      <c r="M175" s="11">
        <f t="shared" si="71"/>
        <v>0.74173553719008267</v>
      </c>
      <c r="N175" s="11">
        <f t="shared" si="72"/>
        <v>0.42339402717953678</v>
      </c>
      <c r="O175" s="11">
        <f t="shared" si="73"/>
        <v>4.1322314049586778E-3</v>
      </c>
      <c r="P175" s="11">
        <f t="shared" si="74"/>
        <v>1.7734903064654368E-3</v>
      </c>
      <c r="Q175" s="20">
        <f t="shared" si="75"/>
        <v>0.47659873637349992</v>
      </c>
      <c r="R175" s="20">
        <f t="shared" si="76"/>
        <v>0.99999999999999989</v>
      </c>
      <c r="S175" s="5">
        <f t="shared" si="62"/>
        <v>236.82383869215545</v>
      </c>
      <c r="T175" s="5">
        <f t="shared" si="63"/>
        <v>213.14145482293992</v>
      </c>
      <c r="U175" s="5">
        <f>U171</f>
        <v>233.19957522022167</v>
      </c>
      <c r="V175" s="5">
        <f>V171</f>
        <v>209.87961769819952</v>
      </c>
      <c r="W175" s="62">
        <f t="shared" si="77"/>
        <v>0.86570247933884303</v>
      </c>
    </row>
    <row r="176" spans="2:23" x14ac:dyDescent="0.35">
      <c r="B176">
        <v>155</v>
      </c>
      <c r="C176" s="16" t="str">
        <f t="shared" si="61"/>
        <v>Fri</v>
      </c>
      <c r="D176" s="12">
        <v>44806</v>
      </c>
      <c r="E176">
        <f t="shared" si="78"/>
        <v>28</v>
      </c>
      <c r="F176" s="61">
        <f t="shared" si="64"/>
        <v>242</v>
      </c>
      <c r="G176" s="61">
        <f t="shared" si="65"/>
        <v>51</v>
      </c>
      <c r="H176" s="61">
        <f t="shared" si="66"/>
        <v>155</v>
      </c>
      <c r="I176" s="61">
        <f t="shared" si="67"/>
        <v>106</v>
      </c>
      <c r="J176" s="61">
        <f t="shared" si="68"/>
        <v>2</v>
      </c>
      <c r="K176" s="11">
        <f t="shared" si="69"/>
        <v>0.11570247933884298</v>
      </c>
      <c r="L176" s="11">
        <f t="shared" si="70"/>
        <v>4.9657728581032227E-2</v>
      </c>
      <c r="M176" s="11">
        <f t="shared" si="71"/>
        <v>0.74173553719008267</v>
      </c>
      <c r="N176" s="11">
        <f t="shared" si="72"/>
        <v>0.42339402717953678</v>
      </c>
      <c r="O176" s="11">
        <f t="shared" si="73"/>
        <v>8.2644628099173556E-3</v>
      </c>
      <c r="P176" s="11">
        <f t="shared" si="74"/>
        <v>3.5469806129308735E-3</v>
      </c>
      <c r="Q176" s="20">
        <f t="shared" si="75"/>
        <v>0.47659873637349986</v>
      </c>
      <c r="R176" s="20">
        <f t="shared" si="76"/>
        <v>1</v>
      </c>
      <c r="S176" s="5">
        <f t="shared" si="62"/>
        <v>237.02995260009951</v>
      </c>
      <c r="T176" s="5">
        <f t="shared" si="63"/>
        <v>213.32695734008956</v>
      </c>
      <c r="U176" s="5">
        <f>U171</f>
        <v>233.19957522022167</v>
      </c>
      <c r="V176" s="5">
        <f>V171</f>
        <v>209.87961769819952</v>
      </c>
      <c r="W176" s="62">
        <f t="shared" si="77"/>
        <v>0.86570247933884303</v>
      </c>
    </row>
    <row r="177" spans="2:23" x14ac:dyDescent="0.35">
      <c r="B177">
        <v>156</v>
      </c>
      <c r="C177" s="16" t="str">
        <f t="shared" si="61"/>
        <v>Sat</v>
      </c>
      <c r="D177" s="12">
        <v>44807</v>
      </c>
      <c r="E177">
        <f t="shared" si="78"/>
        <v>27</v>
      </c>
      <c r="F177" s="61">
        <f t="shared" si="64"/>
        <v>242</v>
      </c>
      <c r="G177" s="61">
        <f t="shared" si="65"/>
        <v>51</v>
      </c>
      <c r="H177" s="61">
        <f t="shared" si="66"/>
        <v>156</v>
      </c>
      <c r="I177" s="61">
        <f t="shared" si="67"/>
        <v>107</v>
      </c>
      <c r="J177" s="61">
        <f t="shared" si="68"/>
        <v>3</v>
      </c>
      <c r="K177" s="11">
        <f t="shared" si="69"/>
        <v>0.1115702479338843</v>
      </c>
      <c r="L177" s="11">
        <f t="shared" si="70"/>
        <v>4.7884238274566795E-2</v>
      </c>
      <c r="M177" s="11">
        <f t="shared" si="71"/>
        <v>0.74173553719008267</v>
      </c>
      <c r="N177" s="11">
        <f t="shared" si="72"/>
        <v>0.42339402717953678</v>
      </c>
      <c r="O177" s="11">
        <f t="shared" si="73"/>
        <v>1.2396694214876033E-2</v>
      </c>
      <c r="P177" s="11">
        <f t="shared" si="74"/>
        <v>5.3204709193963107E-3</v>
      </c>
      <c r="Q177" s="20">
        <f t="shared" si="75"/>
        <v>0.47659873637349986</v>
      </c>
      <c r="R177" s="20">
        <f t="shared" si="76"/>
        <v>1</v>
      </c>
      <c r="S177" s="5">
        <f t="shared" si="62"/>
        <v>237.23606650804348</v>
      </c>
      <c r="T177" s="5">
        <f t="shared" si="63"/>
        <v>213.51245985723912</v>
      </c>
      <c r="U177" s="5">
        <f>U171</f>
        <v>233.19957522022167</v>
      </c>
      <c r="V177" s="5">
        <f>V171</f>
        <v>209.87961769819952</v>
      </c>
      <c r="W177" s="62">
        <f t="shared" si="77"/>
        <v>0.86570247933884292</v>
      </c>
    </row>
    <row r="178" spans="2:23" x14ac:dyDescent="0.35">
      <c r="B178">
        <v>157</v>
      </c>
      <c r="C178" s="16" t="str">
        <f t="shared" si="61"/>
        <v>Sun</v>
      </c>
      <c r="D178" s="12">
        <v>44808</v>
      </c>
      <c r="E178">
        <f t="shared" si="78"/>
        <v>26</v>
      </c>
      <c r="F178" s="61">
        <f t="shared" si="64"/>
        <v>242</v>
      </c>
      <c r="G178" s="61">
        <f t="shared" si="65"/>
        <v>51</v>
      </c>
      <c r="H178" s="61">
        <f t="shared" si="66"/>
        <v>157</v>
      </c>
      <c r="I178" s="61">
        <f t="shared" si="67"/>
        <v>108</v>
      </c>
      <c r="J178" s="61">
        <f t="shared" si="68"/>
        <v>4</v>
      </c>
      <c r="K178" s="11">
        <f t="shared" si="69"/>
        <v>0.10743801652892562</v>
      </c>
      <c r="L178" s="11">
        <f t="shared" si="70"/>
        <v>4.6110747968101357E-2</v>
      </c>
      <c r="M178" s="11">
        <f t="shared" si="71"/>
        <v>0.74173553719008267</v>
      </c>
      <c r="N178" s="11">
        <f t="shared" si="72"/>
        <v>0.42339402717953678</v>
      </c>
      <c r="O178" s="11">
        <f t="shared" si="73"/>
        <v>1.6528925619834711E-2</v>
      </c>
      <c r="P178" s="11">
        <f t="shared" si="74"/>
        <v>7.093961225861747E-3</v>
      </c>
      <c r="Q178" s="20">
        <f t="shared" si="75"/>
        <v>0.47659873637349986</v>
      </c>
      <c r="R178" s="20">
        <f t="shared" si="76"/>
        <v>1</v>
      </c>
      <c r="S178" s="5">
        <f t="shared" si="62"/>
        <v>237.44218041598754</v>
      </c>
      <c r="T178" s="5">
        <f t="shared" si="63"/>
        <v>213.69796237438879</v>
      </c>
      <c r="U178" s="5">
        <f>AVERAGE(S173:S176)</f>
        <v>236.65117723323385</v>
      </c>
      <c r="V178" s="5">
        <f>AVERAGE(T173:T176)</f>
        <v>212.98605950991049</v>
      </c>
      <c r="W178" s="62">
        <f t="shared" si="77"/>
        <v>0.86570247933884303</v>
      </c>
    </row>
    <row r="179" spans="2:23" x14ac:dyDescent="0.35">
      <c r="B179">
        <v>158</v>
      </c>
      <c r="C179" s="16" t="str">
        <f t="shared" si="61"/>
        <v>Mon</v>
      </c>
      <c r="D179" s="12">
        <v>44809</v>
      </c>
      <c r="E179">
        <f t="shared" si="78"/>
        <v>25</v>
      </c>
      <c r="F179" s="61">
        <f t="shared" si="64"/>
        <v>242</v>
      </c>
      <c r="G179" s="61">
        <f t="shared" si="65"/>
        <v>51</v>
      </c>
      <c r="H179" s="61">
        <f t="shared" si="66"/>
        <v>158</v>
      </c>
      <c r="I179" s="61">
        <f t="shared" si="67"/>
        <v>109</v>
      </c>
      <c r="J179" s="61">
        <f t="shared" si="68"/>
        <v>5</v>
      </c>
      <c r="K179" s="11">
        <f t="shared" si="69"/>
        <v>0.10330578512396695</v>
      </c>
      <c r="L179" s="11">
        <f t="shared" si="70"/>
        <v>4.4337257661635918E-2</v>
      </c>
      <c r="M179" s="11">
        <f t="shared" si="71"/>
        <v>0.74173553719008267</v>
      </c>
      <c r="N179" s="11">
        <f t="shared" si="72"/>
        <v>0.42339402717953678</v>
      </c>
      <c r="O179" s="11">
        <f t="shared" si="73"/>
        <v>2.0661157024793389E-2</v>
      </c>
      <c r="P179" s="11">
        <f t="shared" si="74"/>
        <v>8.8674515323271842E-3</v>
      </c>
      <c r="Q179" s="20">
        <f t="shared" si="75"/>
        <v>0.47659873637349992</v>
      </c>
      <c r="R179" s="20">
        <f t="shared" si="76"/>
        <v>0.99999999999999989</v>
      </c>
      <c r="S179" s="5">
        <f t="shared" si="62"/>
        <v>237.64829432393151</v>
      </c>
      <c r="T179" s="5">
        <f t="shared" si="63"/>
        <v>213.88346489153835</v>
      </c>
      <c r="U179" s="5">
        <f>U178</f>
        <v>236.65117723323385</v>
      </c>
      <c r="V179" s="5">
        <f>V178</f>
        <v>212.98605950991049</v>
      </c>
      <c r="W179" s="62">
        <f t="shared" si="77"/>
        <v>0.86570247933884303</v>
      </c>
    </row>
    <row r="180" spans="2:23" x14ac:dyDescent="0.35">
      <c r="B180">
        <v>159</v>
      </c>
      <c r="C180" s="16" t="str">
        <f t="shared" si="61"/>
        <v>Tue</v>
      </c>
      <c r="D180" s="12">
        <v>44810</v>
      </c>
      <c r="E180">
        <f t="shared" si="78"/>
        <v>24</v>
      </c>
      <c r="F180" s="61">
        <f t="shared" si="64"/>
        <v>242</v>
      </c>
      <c r="G180" s="61">
        <f t="shared" si="65"/>
        <v>51</v>
      </c>
      <c r="H180" s="61">
        <f t="shared" si="66"/>
        <v>159</v>
      </c>
      <c r="I180" s="61">
        <f t="shared" si="67"/>
        <v>110</v>
      </c>
      <c r="J180" s="61">
        <f t="shared" si="68"/>
        <v>6</v>
      </c>
      <c r="K180" s="11">
        <f t="shared" si="69"/>
        <v>9.9173553719008267E-2</v>
      </c>
      <c r="L180" s="11">
        <f t="shared" si="70"/>
        <v>4.2563767355170486E-2</v>
      </c>
      <c r="M180" s="11">
        <f t="shared" si="71"/>
        <v>0.74173553719008267</v>
      </c>
      <c r="N180" s="11">
        <f t="shared" si="72"/>
        <v>0.42339402717953678</v>
      </c>
      <c r="O180" s="11">
        <f t="shared" si="73"/>
        <v>2.4793388429752067E-2</v>
      </c>
      <c r="P180" s="11">
        <f t="shared" si="74"/>
        <v>1.0640941838792621E-2</v>
      </c>
      <c r="Q180" s="20">
        <f t="shared" si="75"/>
        <v>0.47659873637349986</v>
      </c>
      <c r="R180" s="20">
        <f t="shared" si="76"/>
        <v>1</v>
      </c>
      <c r="S180" s="5">
        <f t="shared" si="62"/>
        <v>237.85440823187557</v>
      </c>
      <c r="T180" s="5">
        <f t="shared" si="63"/>
        <v>214.06896740868802</v>
      </c>
      <c r="U180" s="5">
        <f>U178</f>
        <v>236.65117723323385</v>
      </c>
      <c r="V180" s="5">
        <f>V178</f>
        <v>212.98605950991049</v>
      </c>
      <c r="W180" s="62">
        <f t="shared" si="77"/>
        <v>0.86570247933884303</v>
      </c>
    </row>
    <row r="181" spans="2:23" x14ac:dyDescent="0.35">
      <c r="B181">
        <v>160</v>
      </c>
      <c r="C181" s="16" t="str">
        <f t="shared" si="61"/>
        <v>Wed</v>
      </c>
      <c r="D181" s="12">
        <v>44811</v>
      </c>
      <c r="E181">
        <f t="shared" si="78"/>
        <v>23</v>
      </c>
      <c r="F181" s="61">
        <f t="shared" si="64"/>
        <v>242</v>
      </c>
      <c r="G181" s="61">
        <f t="shared" si="65"/>
        <v>51</v>
      </c>
      <c r="H181" s="61">
        <f t="shared" si="66"/>
        <v>160</v>
      </c>
      <c r="I181" s="61">
        <f t="shared" si="67"/>
        <v>111</v>
      </c>
      <c r="J181" s="61">
        <f t="shared" si="68"/>
        <v>7</v>
      </c>
      <c r="K181" s="11">
        <f t="shared" si="69"/>
        <v>9.5041322314049589E-2</v>
      </c>
      <c r="L181" s="11">
        <f t="shared" si="70"/>
        <v>4.0790277048705047E-2</v>
      </c>
      <c r="M181" s="11">
        <f t="shared" si="71"/>
        <v>0.74173553719008267</v>
      </c>
      <c r="N181" s="11">
        <f t="shared" si="72"/>
        <v>0.42339402717953678</v>
      </c>
      <c r="O181" s="11">
        <f t="shared" si="73"/>
        <v>2.8925619834710745E-2</v>
      </c>
      <c r="P181" s="11">
        <f t="shared" si="74"/>
        <v>1.2414432145258057E-2</v>
      </c>
      <c r="Q181" s="20">
        <f t="shared" si="75"/>
        <v>0.47659873637349986</v>
      </c>
      <c r="R181" s="20">
        <f t="shared" si="76"/>
        <v>1</v>
      </c>
      <c r="S181" s="5">
        <f t="shared" si="62"/>
        <v>238.06052213981954</v>
      </c>
      <c r="T181" s="5">
        <f t="shared" si="63"/>
        <v>214.25446992583758</v>
      </c>
      <c r="U181" s="5">
        <f>U178</f>
        <v>236.65117723323385</v>
      </c>
      <c r="V181" s="5">
        <f>V178</f>
        <v>212.98605950991049</v>
      </c>
      <c r="W181" s="62">
        <f t="shared" si="77"/>
        <v>0.86570247933884303</v>
      </c>
    </row>
    <row r="182" spans="2:23" x14ac:dyDescent="0.35">
      <c r="B182">
        <v>161</v>
      </c>
      <c r="C182" s="16" t="str">
        <f t="shared" ref="C182:C204" si="79">TEXT(D182,"ddd")</f>
        <v>Thu</v>
      </c>
      <c r="D182" s="12">
        <v>44812</v>
      </c>
      <c r="E182">
        <f t="shared" si="78"/>
        <v>22</v>
      </c>
      <c r="F182" s="61">
        <f t="shared" si="64"/>
        <v>242</v>
      </c>
      <c r="G182" s="61">
        <f t="shared" si="65"/>
        <v>51</v>
      </c>
      <c r="H182" s="61">
        <f t="shared" si="66"/>
        <v>161</v>
      </c>
      <c r="I182" s="61">
        <f t="shared" si="67"/>
        <v>112</v>
      </c>
      <c r="J182" s="61">
        <f t="shared" si="68"/>
        <v>8</v>
      </c>
      <c r="K182" s="11">
        <f t="shared" si="69"/>
        <v>9.0909090909090912E-2</v>
      </c>
      <c r="L182" s="11">
        <f t="shared" si="70"/>
        <v>3.9016786742239608E-2</v>
      </c>
      <c r="M182" s="11">
        <f t="shared" si="71"/>
        <v>0.74173553719008267</v>
      </c>
      <c r="N182" s="11">
        <f t="shared" si="72"/>
        <v>0.42339402717953678</v>
      </c>
      <c r="O182" s="11">
        <f t="shared" si="73"/>
        <v>3.3057851239669422E-2</v>
      </c>
      <c r="P182" s="11">
        <f t="shared" si="74"/>
        <v>1.4187922451723494E-2</v>
      </c>
      <c r="Q182" s="20">
        <f t="shared" si="75"/>
        <v>0.47659873637349992</v>
      </c>
      <c r="R182" s="20">
        <f t="shared" si="76"/>
        <v>0.99999999999999989</v>
      </c>
      <c r="S182" s="5">
        <f t="shared" ref="S182:S204" si="80">((PCc*L182)+(PCn*N182)+(PCn_2*P182))/(L182+N182+P182)</f>
        <v>238.26663604776354</v>
      </c>
      <c r="T182" s="5">
        <f t="shared" ref="T182:T204" si="81">S182*LSLT</f>
        <v>214.4399724429872</v>
      </c>
      <c r="U182" s="5">
        <f>U178</f>
        <v>236.65117723323385</v>
      </c>
      <c r="V182" s="5">
        <f>V178</f>
        <v>212.98605950991049</v>
      </c>
      <c r="W182" s="62">
        <f t="shared" si="77"/>
        <v>0.86570247933884303</v>
      </c>
    </row>
    <row r="183" spans="2:23" x14ac:dyDescent="0.35">
      <c r="B183">
        <v>162</v>
      </c>
      <c r="C183" s="16" t="str">
        <f t="shared" si="79"/>
        <v>Fri</v>
      </c>
      <c r="D183" s="12">
        <v>44813</v>
      </c>
      <c r="E183">
        <f t="shared" si="78"/>
        <v>21</v>
      </c>
      <c r="F183" s="61">
        <f t="shared" si="64"/>
        <v>242</v>
      </c>
      <c r="G183" s="61">
        <f t="shared" si="65"/>
        <v>51</v>
      </c>
      <c r="H183" s="61">
        <f t="shared" si="66"/>
        <v>162</v>
      </c>
      <c r="I183" s="61">
        <f t="shared" si="67"/>
        <v>113</v>
      </c>
      <c r="J183" s="61">
        <f t="shared" si="68"/>
        <v>9</v>
      </c>
      <c r="K183" s="11">
        <f t="shared" si="69"/>
        <v>8.6776859504132234E-2</v>
      </c>
      <c r="L183" s="11">
        <f t="shared" si="70"/>
        <v>3.7243296435774176E-2</v>
      </c>
      <c r="M183" s="11">
        <f t="shared" si="71"/>
        <v>0.74173553719008267</v>
      </c>
      <c r="N183" s="11">
        <f t="shared" si="72"/>
        <v>0.42339402717953678</v>
      </c>
      <c r="O183" s="11">
        <f t="shared" si="73"/>
        <v>3.71900826446281E-2</v>
      </c>
      <c r="P183" s="11">
        <f t="shared" si="74"/>
        <v>1.596141275818893E-2</v>
      </c>
      <c r="Q183" s="20">
        <f t="shared" si="75"/>
        <v>0.47659873637349986</v>
      </c>
      <c r="R183" s="20">
        <f t="shared" si="76"/>
        <v>1</v>
      </c>
      <c r="S183" s="5">
        <f t="shared" si="80"/>
        <v>238.47274995570757</v>
      </c>
      <c r="T183" s="5">
        <f t="shared" si="81"/>
        <v>214.62547496013681</v>
      </c>
      <c r="U183" s="5">
        <f>U178</f>
        <v>236.65117723323385</v>
      </c>
      <c r="V183" s="5">
        <f>V178</f>
        <v>212.98605950991049</v>
      </c>
      <c r="W183" s="62">
        <f t="shared" si="77"/>
        <v>0.86570247933884303</v>
      </c>
    </row>
    <row r="184" spans="2:23" x14ac:dyDescent="0.35">
      <c r="B184">
        <v>163</v>
      </c>
      <c r="C184" s="16" t="str">
        <f t="shared" si="79"/>
        <v>Sat</v>
      </c>
      <c r="D184" s="12">
        <v>44814</v>
      </c>
      <c r="E184">
        <f t="shared" si="78"/>
        <v>20</v>
      </c>
      <c r="F184" s="61">
        <f t="shared" si="64"/>
        <v>242</v>
      </c>
      <c r="G184" s="61">
        <f t="shared" si="65"/>
        <v>51</v>
      </c>
      <c r="H184" s="61">
        <f t="shared" si="66"/>
        <v>163</v>
      </c>
      <c r="I184" s="61">
        <f t="shared" si="67"/>
        <v>114</v>
      </c>
      <c r="J184" s="61">
        <f t="shared" si="68"/>
        <v>10</v>
      </c>
      <c r="K184" s="11">
        <f t="shared" si="69"/>
        <v>8.2644628099173556E-2</v>
      </c>
      <c r="L184" s="11">
        <f t="shared" si="70"/>
        <v>3.5469806129308737E-2</v>
      </c>
      <c r="M184" s="11">
        <f t="shared" si="71"/>
        <v>0.74173553719008267</v>
      </c>
      <c r="N184" s="11">
        <f t="shared" si="72"/>
        <v>0.42339402717953678</v>
      </c>
      <c r="O184" s="11">
        <f t="shared" si="73"/>
        <v>4.1322314049586778E-2</v>
      </c>
      <c r="P184" s="11">
        <f t="shared" si="74"/>
        <v>1.7734903064654368E-2</v>
      </c>
      <c r="Q184" s="20">
        <f t="shared" si="75"/>
        <v>0.47659873637349986</v>
      </c>
      <c r="R184" s="20">
        <f t="shared" si="76"/>
        <v>1</v>
      </c>
      <c r="S184" s="5">
        <f t="shared" si="80"/>
        <v>238.67886386365163</v>
      </c>
      <c r="T184" s="5">
        <f t="shared" si="81"/>
        <v>214.81097747728646</v>
      </c>
      <c r="U184" s="5">
        <f>U178</f>
        <v>236.65117723323385</v>
      </c>
      <c r="V184" s="5">
        <f>V178</f>
        <v>212.98605950991049</v>
      </c>
      <c r="W184" s="62">
        <f t="shared" si="77"/>
        <v>0.86570247933884292</v>
      </c>
    </row>
    <row r="185" spans="2:23" x14ac:dyDescent="0.35">
      <c r="B185">
        <v>164</v>
      </c>
      <c r="C185" s="16" t="str">
        <f t="shared" si="79"/>
        <v>Sun</v>
      </c>
      <c r="D185" s="12">
        <v>44815</v>
      </c>
      <c r="E185">
        <f t="shared" si="78"/>
        <v>19</v>
      </c>
      <c r="F185" s="61">
        <f t="shared" si="64"/>
        <v>242</v>
      </c>
      <c r="G185" s="61">
        <f t="shared" si="65"/>
        <v>51</v>
      </c>
      <c r="H185" s="61">
        <f t="shared" si="66"/>
        <v>164</v>
      </c>
      <c r="I185" s="61">
        <f t="shared" si="67"/>
        <v>115</v>
      </c>
      <c r="J185" s="61">
        <f t="shared" si="68"/>
        <v>11</v>
      </c>
      <c r="K185" s="11">
        <f t="shared" si="69"/>
        <v>7.8512396694214878E-2</v>
      </c>
      <c r="L185" s="11">
        <f t="shared" si="70"/>
        <v>3.3696315822843298E-2</v>
      </c>
      <c r="M185" s="11">
        <f t="shared" si="71"/>
        <v>0.74173553719008267</v>
      </c>
      <c r="N185" s="11">
        <f t="shared" si="72"/>
        <v>0.42339402717953678</v>
      </c>
      <c r="O185" s="11">
        <f t="shared" si="73"/>
        <v>4.5454545454545456E-2</v>
      </c>
      <c r="P185" s="11">
        <f t="shared" si="74"/>
        <v>1.9508393371119804E-2</v>
      </c>
      <c r="Q185" s="20">
        <f t="shared" si="75"/>
        <v>0.47659873637349986</v>
      </c>
      <c r="R185" s="20">
        <f t="shared" si="76"/>
        <v>1</v>
      </c>
      <c r="S185" s="5">
        <f t="shared" si="80"/>
        <v>238.88497777159563</v>
      </c>
      <c r="T185" s="5">
        <f t="shared" si="81"/>
        <v>214.99647999443607</v>
      </c>
      <c r="U185" s="5">
        <f>AVERAGE(S179:S183)</f>
        <v>238.06052213981957</v>
      </c>
      <c r="V185" s="5">
        <f>AVERAGE(T179:T183)</f>
        <v>214.25446992583761</v>
      </c>
      <c r="W185" s="62">
        <f t="shared" si="77"/>
        <v>0.86570247933884292</v>
      </c>
    </row>
    <row r="186" spans="2:23" x14ac:dyDescent="0.35">
      <c r="B186">
        <v>165</v>
      </c>
      <c r="C186" s="16" t="str">
        <f t="shared" si="79"/>
        <v>Mon</v>
      </c>
      <c r="D186" s="12">
        <v>44816</v>
      </c>
      <c r="E186">
        <f t="shared" ref="E186:E204" si="82">$AH$13-D186</f>
        <v>18</v>
      </c>
      <c r="F186" s="61">
        <f t="shared" si="64"/>
        <v>242</v>
      </c>
      <c r="G186" s="61">
        <f t="shared" si="65"/>
        <v>51</v>
      </c>
      <c r="H186" s="61">
        <f t="shared" si="66"/>
        <v>165</v>
      </c>
      <c r="I186" s="61">
        <f t="shared" si="67"/>
        <v>116</v>
      </c>
      <c r="J186" s="61">
        <f t="shared" si="68"/>
        <v>12</v>
      </c>
      <c r="K186" s="11">
        <f t="shared" si="69"/>
        <v>7.43801652892562E-2</v>
      </c>
      <c r="L186" s="11">
        <f t="shared" si="70"/>
        <v>3.1922825516377859E-2</v>
      </c>
      <c r="M186" s="11">
        <f t="shared" si="71"/>
        <v>0.74173553719008267</v>
      </c>
      <c r="N186" s="11">
        <f t="shared" si="72"/>
        <v>0.42339402717953678</v>
      </c>
      <c r="O186" s="11">
        <f t="shared" si="73"/>
        <v>4.9586776859504134E-2</v>
      </c>
      <c r="P186" s="11">
        <f t="shared" si="74"/>
        <v>2.1281883677585243E-2</v>
      </c>
      <c r="Q186" s="20">
        <f t="shared" si="75"/>
        <v>0.47659873637349992</v>
      </c>
      <c r="R186" s="20">
        <f t="shared" si="76"/>
        <v>0.99999999999999989</v>
      </c>
      <c r="S186" s="5">
        <f t="shared" si="80"/>
        <v>239.0910916795396</v>
      </c>
      <c r="T186" s="5">
        <f t="shared" si="81"/>
        <v>215.18198251158566</v>
      </c>
      <c r="U186" s="5">
        <f>U185</f>
        <v>238.06052213981957</v>
      </c>
      <c r="V186" s="5">
        <f>V185</f>
        <v>214.25446992583761</v>
      </c>
      <c r="W186" s="62">
        <f t="shared" si="77"/>
        <v>0.86570247933884303</v>
      </c>
    </row>
    <row r="187" spans="2:23" x14ac:dyDescent="0.35">
      <c r="B187">
        <v>166</v>
      </c>
      <c r="C187" s="16" t="str">
        <f t="shared" si="79"/>
        <v>Tue</v>
      </c>
      <c r="D187" s="12">
        <v>44817</v>
      </c>
      <c r="E187">
        <f t="shared" si="82"/>
        <v>17</v>
      </c>
      <c r="F187" s="61">
        <f t="shared" si="64"/>
        <v>242</v>
      </c>
      <c r="G187" s="61">
        <f t="shared" si="65"/>
        <v>51</v>
      </c>
      <c r="H187" s="61">
        <f t="shared" si="66"/>
        <v>166</v>
      </c>
      <c r="I187" s="61">
        <f t="shared" si="67"/>
        <v>117</v>
      </c>
      <c r="J187" s="61">
        <f t="shared" si="68"/>
        <v>13</v>
      </c>
      <c r="K187" s="11">
        <f t="shared" si="69"/>
        <v>7.0247933884297523E-2</v>
      </c>
      <c r="L187" s="11">
        <f t="shared" si="70"/>
        <v>3.0149335209912427E-2</v>
      </c>
      <c r="M187" s="11">
        <f t="shared" si="71"/>
        <v>0.74173553719008267</v>
      </c>
      <c r="N187" s="11">
        <f t="shared" si="72"/>
        <v>0.42339402717953678</v>
      </c>
      <c r="O187" s="11">
        <f t="shared" si="73"/>
        <v>5.3719008264462811E-2</v>
      </c>
      <c r="P187" s="11">
        <f t="shared" si="74"/>
        <v>2.3055373984050678E-2</v>
      </c>
      <c r="Q187" s="20">
        <f t="shared" si="75"/>
        <v>0.47659873637349986</v>
      </c>
      <c r="R187" s="20">
        <f t="shared" si="76"/>
        <v>1</v>
      </c>
      <c r="S187" s="5">
        <f t="shared" si="80"/>
        <v>239.29720558748363</v>
      </c>
      <c r="T187" s="5">
        <f t="shared" si="81"/>
        <v>215.36748502873527</v>
      </c>
      <c r="U187" s="5">
        <f>U185</f>
        <v>238.06052213981957</v>
      </c>
      <c r="V187" s="5">
        <f>V185</f>
        <v>214.25446992583761</v>
      </c>
      <c r="W187" s="62">
        <f t="shared" si="77"/>
        <v>0.86570247933884303</v>
      </c>
    </row>
    <row r="188" spans="2:23" x14ac:dyDescent="0.35">
      <c r="B188">
        <v>167</v>
      </c>
      <c r="C188" s="16" t="str">
        <f t="shared" si="79"/>
        <v>Wed</v>
      </c>
      <c r="D188" s="12">
        <v>44818</v>
      </c>
      <c r="E188">
        <f t="shared" si="82"/>
        <v>16</v>
      </c>
      <c r="F188" s="61">
        <f t="shared" si="64"/>
        <v>242</v>
      </c>
      <c r="G188" s="61">
        <f t="shared" si="65"/>
        <v>51</v>
      </c>
      <c r="H188" s="61">
        <f t="shared" si="66"/>
        <v>167</v>
      </c>
      <c r="I188" s="61">
        <f t="shared" si="67"/>
        <v>118</v>
      </c>
      <c r="J188" s="61">
        <f t="shared" si="68"/>
        <v>14</v>
      </c>
      <c r="K188" s="11">
        <f t="shared" si="69"/>
        <v>6.6115702479338845E-2</v>
      </c>
      <c r="L188" s="11">
        <f t="shared" si="70"/>
        <v>2.8375844903446988E-2</v>
      </c>
      <c r="M188" s="11">
        <f t="shared" si="71"/>
        <v>0.74173553719008267</v>
      </c>
      <c r="N188" s="11">
        <f t="shared" si="72"/>
        <v>0.42339402717953678</v>
      </c>
      <c r="O188" s="11">
        <f t="shared" si="73"/>
        <v>5.7851239669421489E-2</v>
      </c>
      <c r="P188" s="11">
        <f t="shared" si="74"/>
        <v>2.4828864290516114E-2</v>
      </c>
      <c r="Q188" s="20">
        <f t="shared" si="75"/>
        <v>0.47659873637349986</v>
      </c>
      <c r="R188" s="20">
        <f t="shared" si="76"/>
        <v>1</v>
      </c>
      <c r="S188" s="5">
        <f t="shared" si="80"/>
        <v>239.50331949542763</v>
      </c>
      <c r="T188" s="5">
        <f t="shared" si="81"/>
        <v>215.55298754588486</v>
      </c>
      <c r="U188" s="5">
        <f>U185</f>
        <v>238.06052213981957</v>
      </c>
      <c r="V188" s="5">
        <f>V185</f>
        <v>214.25446992583761</v>
      </c>
      <c r="W188" s="62">
        <f t="shared" si="77"/>
        <v>0.86570247933884303</v>
      </c>
    </row>
    <row r="189" spans="2:23" x14ac:dyDescent="0.35">
      <c r="B189">
        <v>168</v>
      </c>
      <c r="C189" s="16" t="str">
        <f t="shared" si="79"/>
        <v>Thu</v>
      </c>
      <c r="D189" s="12">
        <v>44819</v>
      </c>
      <c r="E189">
        <f t="shared" si="82"/>
        <v>15</v>
      </c>
      <c r="F189" s="61">
        <f t="shared" si="64"/>
        <v>242</v>
      </c>
      <c r="G189" s="61">
        <f t="shared" si="65"/>
        <v>51</v>
      </c>
      <c r="H189" s="61">
        <f t="shared" si="66"/>
        <v>168</v>
      </c>
      <c r="I189" s="61">
        <f t="shared" si="67"/>
        <v>119</v>
      </c>
      <c r="J189" s="61">
        <f t="shared" si="68"/>
        <v>15</v>
      </c>
      <c r="K189" s="11">
        <f t="shared" si="69"/>
        <v>6.1983471074380167E-2</v>
      </c>
      <c r="L189" s="11">
        <f t="shared" si="70"/>
        <v>2.6602354596981553E-2</v>
      </c>
      <c r="M189" s="11">
        <f t="shared" si="71"/>
        <v>0.74173553719008267</v>
      </c>
      <c r="N189" s="11">
        <f t="shared" si="72"/>
        <v>0.42339402717953678</v>
      </c>
      <c r="O189" s="11">
        <f t="shared" si="73"/>
        <v>6.1983471074380167E-2</v>
      </c>
      <c r="P189" s="11">
        <f t="shared" si="74"/>
        <v>2.6602354596981553E-2</v>
      </c>
      <c r="Q189" s="20">
        <f t="shared" si="75"/>
        <v>0.47659873637349992</v>
      </c>
      <c r="R189" s="20">
        <f t="shared" si="76"/>
        <v>0.99999999999999978</v>
      </c>
      <c r="S189" s="5">
        <f t="shared" si="80"/>
        <v>239.70943340337163</v>
      </c>
      <c r="T189" s="5">
        <f t="shared" si="81"/>
        <v>215.73849006303448</v>
      </c>
      <c r="U189" s="5">
        <f>U185</f>
        <v>238.06052213981957</v>
      </c>
      <c r="V189" s="5">
        <f>V185</f>
        <v>214.25446992583761</v>
      </c>
      <c r="W189" s="62">
        <f t="shared" si="77"/>
        <v>0.86570247933884303</v>
      </c>
    </row>
    <row r="190" spans="2:23" x14ac:dyDescent="0.35">
      <c r="B190">
        <v>169</v>
      </c>
      <c r="C190" s="16" t="str">
        <f t="shared" si="79"/>
        <v>Fri</v>
      </c>
      <c r="D190" s="12">
        <v>44820</v>
      </c>
      <c r="E190">
        <f t="shared" si="82"/>
        <v>14</v>
      </c>
      <c r="F190" s="61">
        <f t="shared" si="64"/>
        <v>242</v>
      </c>
      <c r="G190" s="61">
        <f t="shared" si="65"/>
        <v>51</v>
      </c>
      <c r="H190" s="61">
        <f t="shared" si="66"/>
        <v>169</v>
      </c>
      <c r="I190" s="61">
        <f t="shared" si="67"/>
        <v>120</v>
      </c>
      <c r="J190" s="61">
        <f t="shared" si="68"/>
        <v>16</v>
      </c>
      <c r="K190" s="11">
        <f t="shared" si="69"/>
        <v>5.7851239669421489E-2</v>
      </c>
      <c r="L190" s="11">
        <f t="shared" si="70"/>
        <v>2.4828864290516114E-2</v>
      </c>
      <c r="M190" s="11">
        <f t="shared" si="71"/>
        <v>0.74173553719008267</v>
      </c>
      <c r="N190" s="11">
        <f t="shared" si="72"/>
        <v>0.42339402717953678</v>
      </c>
      <c r="O190" s="11">
        <f t="shared" si="73"/>
        <v>6.6115702479338845E-2</v>
      </c>
      <c r="P190" s="11">
        <f t="shared" si="74"/>
        <v>2.8375844903446988E-2</v>
      </c>
      <c r="Q190" s="20">
        <f t="shared" si="75"/>
        <v>0.47659873637349986</v>
      </c>
      <c r="R190" s="20">
        <f t="shared" si="76"/>
        <v>1</v>
      </c>
      <c r="S190" s="5">
        <f t="shared" si="80"/>
        <v>239.91554731131569</v>
      </c>
      <c r="T190" s="5">
        <f t="shared" si="81"/>
        <v>215.92399258018412</v>
      </c>
      <c r="U190" s="5">
        <f>U185</f>
        <v>238.06052213981957</v>
      </c>
      <c r="V190" s="5">
        <f>V185</f>
        <v>214.25446992583761</v>
      </c>
      <c r="W190" s="62">
        <f t="shared" si="77"/>
        <v>0.86570247933884303</v>
      </c>
    </row>
    <row r="191" spans="2:23" x14ac:dyDescent="0.35">
      <c r="B191">
        <v>170</v>
      </c>
      <c r="C191" s="16" t="str">
        <f t="shared" si="79"/>
        <v>Sat</v>
      </c>
      <c r="D191" s="12">
        <v>44821</v>
      </c>
      <c r="E191">
        <f t="shared" si="82"/>
        <v>13</v>
      </c>
      <c r="F191" s="61">
        <f t="shared" si="64"/>
        <v>242</v>
      </c>
      <c r="G191" s="61">
        <f t="shared" si="65"/>
        <v>51</v>
      </c>
      <c r="H191" s="61">
        <f t="shared" si="66"/>
        <v>170</v>
      </c>
      <c r="I191" s="61">
        <f t="shared" si="67"/>
        <v>121</v>
      </c>
      <c r="J191" s="61">
        <f t="shared" si="68"/>
        <v>17</v>
      </c>
      <c r="K191" s="11">
        <f t="shared" si="69"/>
        <v>5.3719008264462811E-2</v>
      </c>
      <c r="L191" s="11">
        <f t="shared" si="70"/>
        <v>2.3055373984050678E-2</v>
      </c>
      <c r="M191" s="11">
        <f t="shared" si="71"/>
        <v>0.74173553719008267</v>
      </c>
      <c r="N191" s="11">
        <f t="shared" si="72"/>
        <v>0.42339402717953678</v>
      </c>
      <c r="O191" s="11">
        <f t="shared" si="73"/>
        <v>7.0247933884297523E-2</v>
      </c>
      <c r="P191" s="11">
        <f t="shared" si="74"/>
        <v>3.0149335209912427E-2</v>
      </c>
      <c r="Q191" s="20">
        <f t="shared" si="75"/>
        <v>0.47659873637349986</v>
      </c>
      <c r="R191" s="20">
        <f t="shared" si="76"/>
        <v>1</v>
      </c>
      <c r="S191" s="5">
        <f t="shared" si="80"/>
        <v>240.12166121925969</v>
      </c>
      <c r="T191" s="5">
        <f t="shared" si="81"/>
        <v>216.10949509733373</v>
      </c>
      <c r="U191" s="5">
        <f>U185</f>
        <v>238.06052213981957</v>
      </c>
      <c r="V191" s="5">
        <f>V185</f>
        <v>214.25446992583761</v>
      </c>
      <c r="W191" s="62">
        <f t="shared" si="77"/>
        <v>0.86570247933884303</v>
      </c>
    </row>
    <row r="192" spans="2:23" x14ac:dyDescent="0.35">
      <c r="B192">
        <v>171</v>
      </c>
      <c r="C192" s="16" t="str">
        <f t="shared" si="79"/>
        <v>Sun</v>
      </c>
      <c r="D192" s="12">
        <v>44822</v>
      </c>
      <c r="E192">
        <f t="shared" si="82"/>
        <v>12</v>
      </c>
      <c r="F192" s="61">
        <f t="shared" si="64"/>
        <v>242</v>
      </c>
      <c r="G192" s="61">
        <f t="shared" si="65"/>
        <v>51</v>
      </c>
      <c r="H192" s="61">
        <f t="shared" si="66"/>
        <v>171</v>
      </c>
      <c r="I192" s="61">
        <f t="shared" si="67"/>
        <v>122</v>
      </c>
      <c r="J192" s="61">
        <f t="shared" si="68"/>
        <v>18</v>
      </c>
      <c r="K192" s="11">
        <f t="shared" si="69"/>
        <v>4.9586776859504134E-2</v>
      </c>
      <c r="L192" s="11">
        <f t="shared" si="70"/>
        <v>2.1281883677585243E-2</v>
      </c>
      <c r="M192" s="11">
        <f t="shared" si="71"/>
        <v>0.74173553719008267</v>
      </c>
      <c r="N192" s="11">
        <f t="shared" si="72"/>
        <v>0.42339402717953678</v>
      </c>
      <c r="O192" s="11">
        <f t="shared" si="73"/>
        <v>7.43801652892562E-2</v>
      </c>
      <c r="P192" s="11">
        <f t="shared" si="74"/>
        <v>3.1922825516377859E-2</v>
      </c>
      <c r="Q192" s="20">
        <f t="shared" si="75"/>
        <v>0.47659873637349992</v>
      </c>
      <c r="R192" s="20">
        <f t="shared" si="76"/>
        <v>0.99999999999999989</v>
      </c>
      <c r="S192" s="5">
        <f t="shared" si="80"/>
        <v>240.32777512720367</v>
      </c>
      <c r="T192" s="5">
        <f t="shared" si="81"/>
        <v>216.29499761448329</v>
      </c>
      <c r="U192" s="5">
        <f>AVERAGE(S186:S190)</f>
        <v>239.50331949542766</v>
      </c>
      <c r="V192" s="5">
        <f>AVERAGE(T186:T190)</f>
        <v>215.55298754588489</v>
      </c>
      <c r="W192" s="62">
        <f t="shared" si="77"/>
        <v>0.86570247933884303</v>
      </c>
    </row>
    <row r="193" spans="2:23" x14ac:dyDescent="0.35">
      <c r="B193">
        <v>172</v>
      </c>
      <c r="C193" s="16" t="str">
        <f t="shared" si="79"/>
        <v>Mon</v>
      </c>
      <c r="D193" s="12">
        <v>44823</v>
      </c>
      <c r="E193">
        <f t="shared" si="82"/>
        <v>11</v>
      </c>
      <c r="F193" s="61">
        <f t="shared" si="64"/>
        <v>242</v>
      </c>
      <c r="G193" s="61">
        <f t="shared" si="65"/>
        <v>51</v>
      </c>
      <c r="H193" s="61">
        <f t="shared" si="66"/>
        <v>172</v>
      </c>
      <c r="I193" s="61">
        <f t="shared" si="67"/>
        <v>123</v>
      </c>
      <c r="J193" s="61">
        <f t="shared" si="68"/>
        <v>19</v>
      </c>
      <c r="K193" s="11">
        <f t="shared" si="69"/>
        <v>4.5454545454545456E-2</v>
      </c>
      <c r="L193" s="11">
        <f t="shared" si="70"/>
        <v>1.9508393371119804E-2</v>
      </c>
      <c r="M193" s="11">
        <f t="shared" si="71"/>
        <v>0.74173553719008267</v>
      </c>
      <c r="N193" s="11">
        <f t="shared" si="72"/>
        <v>0.42339402717953678</v>
      </c>
      <c r="O193" s="11">
        <f t="shared" si="73"/>
        <v>7.8512396694214878E-2</v>
      </c>
      <c r="P193" s="11">
        <f t="shared" si="74"/>
        <v>3.3696315822843298E-2</v>
      </c>
      <c r="Q193" s="20">
        <f t="shared" si="75"/>
        <v>0.47659873637349992</v>
      </c>
      <c r="R193" s="20">
        <f t="shared" si="76"/>
        <v>0.99999999999999978</v>
      </c>
      <c r="S193" s="5">
        <f t="shared" si="80"/>
        <v>240.53388903514769</v>
      </c>
      <c r="T193" s="5">
        <f t="shared" si="81"/>
        <v>216.48050013163294</v>
      </c>
      <c r="U193" s="5">
        <f>U192</f>
        <v>239.50331949542766</v>
      </c>
      <c r="V193" s="5">
        <f>V192</f>
        <v>215.55298754588489</v>
      </c>
      <c r="W193" s="62">
        <f t="shared" si="77"/>
        <v>0.86570247933884292</v>
      </c>
    </row>
    <row r="194" spans="2:23" x14ac:dyDescent="0.35">
      <c r="B194">
        <v>173</v>
      </c>
      <c r="C194" s="16" t="str">
        <f t="shared" si="79"/>
        <v>Tue</v>
      </c>
      <c r="D194" s="12">
        <v>44824</v>
      </c>
      <c r="E194">
        <f t="shared" si="82"/>
        <v>10</v>
      </c>
      <c r="F194" s="61">
        <f t="shared" si="64"/>
        <v>242</v>
      </c>
      <c r="G194" s="61">
        <f t="shared" si="65"/>
        <v>51</v>
      </c>
      <c r="H194" s="61">
        <f t="shared" si="66"/>
        <v>173</v>
      </c>
      <c r="I194" s="61">
        <f t="shared" si="67"/>
        <v>124</v>
      </c>
      <c r="J194" s="61">
        <f t="shared" si="68"/>
        <v>20</v>
      </c>
      <c r="K194" s="11">
        <f t="shared" si="69"/>
        <v>4.1322314049586778E-2</v>
      </c>
      <c r="L194" s="11">
        <f t="shared" si="70"/>
        <v>1.7734903064654368E-2</v>
      </c>
      <c r="M194" s="11">
        <f t="shared" si="71"/>
        <v>0.74173553719008267</v>
      </c>
      <c r="N194" s="11">
        <f t="shared" si="72"/>
        <v>0.42339402717953678</v>
      </c>
      <c r="O194" s="11">
        <f t="shared" si="73"/>
        <v>8.2644628099173556E-2</v>
      </c>
      <c r="P194" s="11">
        <f t="shared" si="74"/>
        <v>3.5469806129308737E-2</v>
      </c>
      <c r="Q194" s="20">
        <f t="shared" si="75"/>
        <v>0.47659873637349986</v>
      </c>
      <c r="R194" s="20">
        <f t="shared" si="76"/>
        <v>1</v>
      </c>
      <c r="S194" s="5">
        <f t="shared" si="80"/>
        <v>240.74000294309172</v>
      </c>
      <c r="T194" s="5">
        <f t="shared" si="81"/>
        <v>216.66600264878255</v>
      </c>
      <c r="U194" s="5">
        <f>U192</f>
        <v>239.50331949542766</v>
      </c>
      <c r="V194" s="5">
        <f>V192</f>
        <v>215.55298754588489</v>
      </c>
      <c r="W194" s="62">
        <f t="shared" si="77"/>
        <v>0.86570247933884303</v>
      </c>
    </row>
    <row r="195" spans="2:23" x14ac:dyDescent="0.35">
      <c r="B195">
        <v>174</v>
      </c>
      <c r="C195" s="16" t="str">
        <f t="shared" si="79"/>
        <v>Wed</v>
      </c>
      <c r="D195" s="12">
        <v>44825</v>
      </c>
      <c r="E195">
        <f t="shared" si="82"/>
        <v>9</v>
      </c>
      <c r="F195" s="61">
        <f t="shared" si="64"/>
        <v>242</v>
      </c>
      <c r="G195" s="61">
        <f t="shared" si="65"/>
        <v>51</v>
      </c>
      <c r="H195" s="61">
        <f t="shared" si="66"/>
        <v>174</v>
      </c>
      <c r="I195" s="61">
        <f t="shared" si="67"/>
        <v>125</v>
      </c>
      <c r="J195" s="61">
        <f t="shared" si="68"/>
        <v>21</v>
      </c>
      <c r="K195" s="11">
        <f t="shared" si="69"/>
        <v>3.71900826446281E-2</v>
      </c>
      <c r="L195" s="11">
        <f t="shared" si="70"/>
        <v>1.596141275818893E-2</v>
      </c>
      <c r="M195" s="11">
        <f t="shared" si="71"/>
        <v>0.74173553719008267</v>
      </c>
      <c r="N195" s="11">
        <f t="shared" si="72"/>
        <v>0.42339402717953678</v>
      </c>
      <c r="O195" s="11">
        <f t="shared" si="73"/>
        <v>8.6776859504132234E-2</v>
      </c>
      <c r="P195" s="11">
        <f t="shared" si="74"/>
        <v>3.7243296435774176E-2</v>
      </c>
      <c r="Q195" s="20">
        <f t="shared" si="75"/>
        <v>0.47659873637349986</v>
      </c>
      <c r="R195" s="20">
        <f t="shared" si="76"/>
        <v>1</v>
      </c>
      <c r="S195" s="5">
        <f t="shared" si="80"/>
        <v>240.94611685103573</v>
      </c>
      <c r="T195" s="5">
        <f t="shared" si="81"/>
        <v>216.85150516593217</v>
      </c>
      <c r="U195" s="5">
        <f>U192</f>
        <v>239.50331949542766</v>
      </c>
      <c r="V195" s="5">
        <f>V192</f>
        <v>215.55298754588489</v>
      </c>
      <c r="W195" s="62">
        <f t="shared" si="77"/>
        <v>0.86570247933884303</v>
      </c>
    </row>
    <row r="196" spans="2:23" x14ac:dyDescent="0.35">
      <c r="B196">
        <v>175</v>
      </c>
      <c r="C196" s="16" t="str">
        <f t="shared" si="79"/>
        <v>Thu</v>
      </c>
      <c r="D196" s="12">
        <v>44826</v>
      </c>
      <c r="E196">
        <f t="shared" si="82"/>
        <v>8</v>
      </c>
      <c r="F196" s="61">
        <f t="shared" si="64"/>
        <v>242</v>
      </c>
      <c r="G196" s="61">
        <f t="shared" si="65"/>
        <v>51</v>
      </c>
      <c r="H196" s="61">
        <f t="shared" si="66"/>
        <v>175</v>
      </c>
      <c r="I196" s="61">
        <f t="shared" si="67"/>
        <v>126</v>
      </c>
      <c r="J196" s="61">
        <f t="shared" si="68"/>
        <v>22</v>
      </c>
      <c r="K196" s="11">
        <f t="shared" si="69"/>
        <v>3.3057851239669422E-2</v>
      </c>
      <c r="L196" s="11">
        <f t="shared" si="70"/>
        <v>1.4187922451723494E-2</v>
      </c>
      <c r="M196" s="11">
        <f t="shared" si="71"/>
        <v>0.74173553719008267</v>
      </c>
      <c r="N196" s="11">
        <f t="shared" si="72"/>
        <v>0.42339402717953678</v>
      </c>
      <c r="O196" s="11">
        <f t="shared" si="73"/>
        <v>9.0909090909090912E-2</v>
      </c>
      <c r="P196" s="11">
        <f t="shared" si="74"/>
        <v>3.9016786742239608E-2</v>
      </c>
      <c r="Q196" s="20">
        <f t="shared" si="75"/>
        <v>0.47659873637349992</v>
      </c>
      <c r="R196" s="20">
        <f t="shared" si="76"/>
        <v>0.99999999999999989</v>
      </c>
      <c r="S196" s="5">
        <f t="shared" si="80"/>
        <v>241.15223075897973</v>
      </c>
      <c r="T196" s="5">
        <f t="shared" si="81"/>
        <v>217.03700768308175</v>
      </c>
      <c r="U196" s="5">
        <f>U192</f>
        <v>239.50331949542766</v>
      </c>
      <c r="V196" s="5">
        <f>V192</f>
        <v>215.55298754588489</v>
      </c>
      <c r="W196" s="62">
        <f t="shared" si="77"/>
        <v>0.86570247933884303</v>
      </c>
    </row>
    <row r="197" spans="2:23" x14ac:dyDescent="0.35">
      <c r="B197">
        <v>176</v>
      </c>
      <c r="C197" s="16" t="str">
        <f t="shared" si="79"/>
        <v>Fri</v>
      </c>
      <c r="D197" s="12">
        <v>44827</v>
      </c>
      <c r="E197">
        <f t="shared" si="82"/>
        <v>7</v>
      </c>
      <c r="F197" s="61">
        <f t="shared" si="64"/>
        <v>242</v>
      </c>
      <c r="G197" s="61">
        <f t="shared" si="65"/>
        <v>51</v>
      </c>
      <c r="H197" s="61">
        <f t="shared" si="66"/>
        <v>176</v>
      </c>
      <c r="I197" s="61">
        <f t="shared" si="67"/>
        <v>127</v>
      </c>
      <c r="J197" s="61">
        <f t="shared" si="68"/>
        <v>23</v>
      </c>
      <c r="K197" s="11">
        <f t="shared" si="69"/>
        <v>2.8925619834710745E-2</v>
      </c>
      <c r="L197" s="11">
        <f t="shared" si="70"/>
        <v>1.2414432145258057E-2</v>
      </c>
      <c r="M197" s="11">
        <f t="shared" si="71"/>
        <v>0.74173553719008267</v>
      </c>
      <c r="N197" s="11">
        <f t="shared" si="72"/>
        <v>0.42339402717953678</v>
      </c>
      <c r="O197" s="11">
        <f t="shared" si="73"/>
        <v>9.5041322314049589E-2</v>
      </c>
      <c r="P197" s="11">
        <f t="shared" si="74"/>
        <v>4.0790277048705047E-2</v>
      </c>
      <c r="Q197" s="20">
        <f t="shared" si="75"/>
        <v>0.47659873637349986</v>
      </c>
      <c r="R197" s="20">
        <f t="shared" si="76"/>
        <v>1</v>
      </c>
      <c r="S197" s="5">
        <f t="shared" si="80"/>
        <v>241.35834466692378</v>
      </c>
      <c r="T197" s="5">
        <f t="shared" si="81"/>
        <v>217.2225102002314</v>
      </c>
      <c r="U197" s="5">
        <f>U192</f>
        <v>239.50331949542766</v>
      </c>
      <c r="V197" s="5">
        <f>V192</f>
        <v>215.55298754588489</v>
      </c>
      <c r="W197" s="62">
        <f t="shared" si="77"/>
        <v>0.86570247933884303</v>
      </c>
    </row>
    <row r="198" spans="2:23" x14ac:dyDescent="0.35">
      <c r="B198">
        <v>177</v>
      </c>
      <c r="C198" s="16" t="str">
        <f t="shared" si="79"/>
        <v>Sat</v>
      </c>
      <c r="D198" s="12">
        <v>44828</v>
      </c>
      <c r="E198">
        <f t="shared" si="82"/>
        <v>6</v>
      </c>
      <c r="F198" s="61">
        <f t="shared" si="64"/>
        <v>242</v>
      </c>
      <c r="G198" s="61">
        <f t="shared" si="65"/>
        <v>51</v>
      </c>
      <c r="H198" s="61">
        <f t="shared" si="66"/>
        <v>177</v>
      </c>
      <c r="I198" s="61">
        <f t="shared" si="67"/>
        <v>128</v>
      </c>
      <c r="J198" s="61">
        <f t="shared" si="68"/>
        <v>24</v>
      </c>
      <c r="K198" s="11">
        <f t="shared" si="69"/>
        <v>2.4793388429752067E-2</v>
      </c>
      <c r="L198" s="11">
        <f t="shared" si="70"/>
        <v>1.0640941838792621E-2</v>
      </c>
      <c r="M198" s="11">
        <f t="shared" si="71"/>
        <v>0.74173553719008267</v>
      </c>
      <c r="N198" s="11">
        <f t="shared" si="72"/>
        <v>0.42339402717953678</v>
      </c>
      <c r="O198" s="11">
        <f t="shared" si="73"/>
        <v>9.9173553719008267E-2</v>
      </c>
      <c r="P198" s="11">
        <f t="shared" si="74"/>
        <v>4.2563767355170486E-2</v>
      </c>
      <c r="Q198" s="20">
        <f t="shared" si="75"/>
        <v>0.47659873637349986</v>
      </c>
      <c r="R198" s="20">
        <f t="shared" si="76"/>
        <v>1</v>
      </c>
      <c r="S198" s="5">
        <f t="shared" si="80"/>
        <v>241.56445857486779</v>
      </c>
      <c r="T198" s="5">
        <f t="shared" si="81"/>
        <v>217.40801271738101</v>
      </c>
      <c r="U198" s="5">
        <f>U192</f>
        <v>239.50331949542766</v>
      </c>
      <c r="V198" s="5">
        <f>V192</f>
        <v>215.55298754588489</v>
      </c>
      <c r="W198" s="62">
        <f t="shared" si="77"/>
        <v>0.86570247933884303</v>
      </c>
    </row>
    <row r="199" spans="2:23" x14ac:dyDescent="0.35">
      <c r="B199">
        <v>178</v>
      </c>
      <c r="C199" s="16" t="str">
        <f t="shared" si="79"/>
        <v>Sun</v>
      </c>
      <c r="D199" s="12">
        <v>44829</v>
      </c>
      <c r="E199">
        <f t="shared" si="82"/>
        <v>5</v>
      </c>
      <c r="F199" s="61">
        <f t="shared" si="64"/>
        <v>242</v>
      </c>
      <c r="G199" s="61">
        <f t="shared" si="65"/>
        <v>51</v>
      </c>
      <c r="H199" s="61">
        <f t="shared" si="66"/>
        <v>178</v>
      </c>
      <c r="I199" s="61">
        <f t="shared" si="67"/>
        <v>129</v>
      </c>
      <c r="J199" s="61">
        <f t="shared" si="68"/>
        <v>25</v>
      </c>
      <c r="K199" s="11">
        <f t="shared" si="69"/>
        <v>2.0661157024793389E-2</v>
      </c>
      <c r="L199" s="11">
        <f t="shared" si="70"/>
        <v>8.8674515323271842E-3</v>
      </c>
      <c r="M199" s="11">
        <f t="shared" si="71"/>
        <v>0.74173553719008267</v>
      </c>
      <c r="N199" s="11">
        <f t="shared" si="72"/>
        <v>0.42339402717953678</v>
      </c>
      <c r="O199" s="11">
        <f t="shared" si="73"/>
        <v>0.10330578512396695</v>
      </c>
      <c r="P199" s="11">
        <f t="shared" si="74"/>
        <v>4.4337257661635918E-2</v>
      </c>
      <c r="Q199" s="20">
        <f t="shared" si="75"/>
        <v>0.47659873637349992</v>
      </c>
      <c r="R199" s="20">
        <f t="shared" si="76"/>
        <v>0.99999999999999989</v>
      </c>
      <c r="S199" s="5">
        <f t="shared" si="80"/>
        <v>241.77057248281176</v>
      </c>
      <c r="T199" s="5">
        <f t="shared" si="81"/>
        <v>217.5935152345306</v>
      </c>
      <c r="U199" s="5">
        <f>AVERAGE(S193:S197)</f>
        <v>240.94611685103573</v>
      </c>
      <c r="V199" s="5">
        <f>AVERAGE(T193:T197)</f>
        <v>216.85150516593217</v>
      </c>
      <c r="W199" s="62">
        <f t="shared" si="77"/>
        <v>0.86570247933884303</v>
      </c>
    </row>
    <row r="200" spans="2:23" x14ac:dyDescent="0.35">
      <c r="B200">
        <v>179</v>
      </c>
      <c r="C200" s="16" t="str">
        <f t="shared" si="79"/>
        <v>Mon</v>
      </c>
      <c r="D200" s="12">
        <v>44830</v>
      </c>
      <c r="E200">
        <f t="shared" si="82"/>
        <v>4</v>
      </c>
      <c r="F200" s="61">
        <f t="shared" si="64"/>
        <v>242</v>
      </c>
      <c r="G200" s="61">
        <f t="shared" si="65"/>
        <v>51</v>
      </c>
      <c r="H200" s="61">
        <f t="shared" si="66"/>
        <v>179</v>
      </c>
      <c r="I200" s="61">
        <f t="shared" si="67"/>
        <v>130</v>
      </c>
      <c r="J200" s="61">
        <f t="shared" si="68"/>
        <v>26</v>
      </c>
      <c r="K200" s="11">
        <f t="shared" si="69"/>
        <v>1.6528925619834711E-2</v>
      </c>
      <c r="L200" s="11">
        <f t="shared" si="70"/>
        <v>7.093961225861747E-3</v>
      </c>
      <c r="M200" s="11">
        <f t="shared" si="71"/>
        <v>0.74173553719008267</v>
      </c>
      <c r="N200" s="11">
        <f t="shared" si="72"/>
        <v>0.42339402717953678</v>
      </c>
      <c r="O200" s="11">
        <f t="shared" si="73"/>
        <v>0.10743801652892562</v>
      </c>
      <c r="P200" s="11">
        <f t="shared" si="74"/>
        <v>4.6110747968101357E-2</v>
      </c>
      <c r="Q200" s="20">
        <f t="shared" si="75"/>
        <v>0.47659873637349992</v>
      </c>
      <c r="R200" s="20">
        <f t="shared" si="76"/>
        <v>0.99999999999999989</v>
      </c>
      <c r="S200" s="5">
        <f t="shared" si="80"/>
        <v>241.97668639075576</v>
      </c>
      <c r="T200" s="5">
        <f t="shared" si="81"/>
        <v>217.77901775168019</v>
      </c>
      <c r="U200" s="5">
        <f>U199</f>
        <v>240.94611685103573</v>
      </c>
      <c r="V200" s="5">
        <f>V199</f>
        <v>216.85150516593217</v>
      </c>
      <c r="W200" s="62">
        <f t="shared" si="77"/>
        <v>0.86570247933884292</v>
      </c>
    </row>
    <row r="201" spans="2:23" x14ac:dyDescent="0.35">
      <c r="B201">
        <v>180</v>
      </c>
      <c r="C201" s="16" t="str">
        <f t="shared" si="79"/>
        <v>Tue</v>
      </c>
      <c r="D201" s="12">
        <v>44831</v>
      </c>
      <c r="E201">
        <f t="shared" si="82"/>
        <v>3</v>
      </c>
      <c r="F201" s="61">
        <f t="shared" si="64"/>
        <v>242</v>
      </c>
      <c r="G201" s="61">
        <f t="shared" si="65"/>
        <v>51</v>
      </c>
      <c r="H201" s="61">
        <f t="shared" si="66"/>
        <v>180</v>
      </c>
      <c r="I201" s="61">
        <f t="shared" si="67"/>
        <v>131</v>
      </c>
      <c r="J201" s="61">
        <f t="shared" si="68"/>
        <v>27</v>
      </c>
      <c r="K201" s="11">
        <f t="shared" si="69"/>
        <v>1.2396694214876033E-2</v>
      </c>
      <c r="L201" s="11">
        <f t="shared" si="70"/>
        <v>5.3204709193963107E-3</v>
      </c>
      <c r="M201" s="11">
        <f t="shared" si="71"/>
        <v>0.74173553719008267</v>
      </c>
      <c r="N201" s="11">
        <f t="shared" si="72"/>
        <v>0.42339402717953678</v>
      </c>
      <c r="O201" s="11">
        <f t="shared" si="73"/>
        <v>0.1115702479338843</v>
      </c>
      <c r="P201" s="11">
        <f t="shared" si="74"/>
        <v>4.7884238274566795E-2</v>
      </c>
      <c r="Q201" s="20">
        <f t="shared" si="75"/>
        <v>0.47659873637349986</v>
      </c>
      <c r="R201" s="20">
        <f t="shared" si="76"/>
        <v>1</v>
      </c>
      <c r="S201" s="5">
        <f t="shared" si="80"/>
        <v>242.18280029869982</v>
      </c>
      <c r="T201" s="5">
        <f t="shared" si="81"/>
        <v>217.96452026882983</v>
      </c>
      <c r="U201" s="5">
        <f>U199</f>
        <v>240.94611685103573</v>
      </c>
      <c r="V201" s="5">
        <f>V199</f>
        <v>216.85150516593217</v>
      </c>
      <c r="W201" s="62">
        <f t="shared" si="77"/>
        <v>0.86570247933884292</v>
      </c>
    </row>
    <row r="202" spans="2:23" x14ac:dyDescent="0.35">
      <c r="B202">
        <v>181</v>
      </c>
      <c r="C202" s="16" t="str">
        <f t="shared" si="79"/>
        <v>Wed</v>
      </c>
      <c r="D202" s="12">
        <v>44832</v>
      </c>
      <c r="E202">
        <f t="shared" si="82"/>
        <v>2</v>
      </c>
      <c r="F202" s="61">
        <f t="shared" si="64"/>
        <v>242</v>
      </c>
      <c r="G202" s="61">
        <f t="shared" si="65"/>
        <v>51</v>
      </c>
      <c r="H202" s="61">
        <f t="shared" si="66"/>
        <v>181</v>
      </c>
      <c r="I202" s="61">
        <f t="shared" si="67"/>
        <v>132</v>
      </c>
      <c r="J202" s="61">
        <f t="shared" si="68"/>
        <v>28</v>
      </c>
      <c r="K202" s="11">
        <f t="shared" si="69"/>
        <v>8.2644628099173556E-3</v>
      </c>
      <c r="L202" s="11">
        <f t="shared" si="70"/>
        <v>3.5469806129308735E-3</v>
      </c>
      <c r="M202" s="11">
        <f t="shared" si="71"/>
        <v>0.74173553719008267</v>
      </c>
      <c r="N202" s="11">
        <f t="shared" si="72"/>
        <v>0.42339402717953678</v>
      </c>
      <c r="O202" s="11">
        <f t="shared" si="73"/>
        <v>0.11570247933884298</v>
      </c>
      <c r="P202" s="11">
        <f t="shared" si="74"/>
        <v>4.9657728581032227E-2</v>
      </c>
      <c r="Q202" s="20">
        <f t="shared" si="75"/>
        <v>0.47659873637349986</v>
      </c>
      <c r="R202" s="20">
        <f t="shared" si="76"/>
        <v>1</v>
      </c>
      <c r="S202" s="5">
        <f t="shared" si="80"/>
        <v>242.38891420664385</v>
      </c>
      <c r="T202" s="5">
        <f t="shared" si="81"/>
        <v>218.15002278597947</v>
      </c>
      <c r="U202" s="5">
        <f>U199</f>
        <v>240.94611685103573</v>
      </c>
      <c r="V202" s="5">
        <f>V199</f>
        <v>216.85150516593217</v>
      </c>
      <c r="W202" s="62">
        <f t="shared" si="77"/>
        <v>0.86570247933884303</v>
      </c>
    </row>
    <row r="203" spans="2:23" x14ac:dyDescent="0.35">
      <c r="B203">
        <v>182</v>
      </c>
      <c r="C203" s="16" t="str">
        <f t="shared" si="79"/>
        <v>Thu</v>
      </c>
      <c r="D203" s="12">
        <v>44833</v>
      </c>
      <c r="E203">
        <f t="shared" si="82"/>
        <v>1</v>
      </c>
      <c r="F203" s="61">
        <f t="shared" si="64"/>
        <v>242</v>
      </c>
      <c r="G203" s="61">
        <f t="shared" si="65"/>
        <v>51</v>
      </c>
      <c r="H203" s="61">
        <f t="shared" si="66"/>
        <v>182</v>
      </c>
      <c r="I203" s="61">
        <f t="shared" si="67"/>
        <v>133</v>
      </c>
      <c r="J203" s="61">
        <f t="shared" si="68"/>
        <v>29</v>
      </c>
      <c r="K203" s="11">
        <f t="shared" si="69"/>
        <v>4.1322314049586778E-3</v>
      </c>
      <c r="L203" s="11">
        <f t="shared" si="70"/>
        <v>1.7734903064654368E-3</v>
      </c>
      <c r="M203" s="11">
        <f t="shared" si="71"/>
        <v>0.74173553719008267</v>
      </c>
      <c r="N203" s="11">
        <f t="shared" si="72"/>
        <v>0.42339402717953678</v>
      </c>
      <c r="O203" s="11">
        <f t="shared" si="73"/>
        <v>0.11983471074380166</v>
      </c>
      <c r="P203" s="11">
        <f t="shared" si="74"/>
        <v>5.1431218887497666E-2</v>
      </c>
      <c r="Q203" s="20">
        <f t="shared" si="75"/>
        <v>0.47659873637349992</v>
      </c>
      <c r="R203" s="20">
        <f t="shared" si="76"/>
        <v>0.99999999999999989</v>
      </c>
      <c r="S203" s="5">
        <f t="shared" si="80"/>
        <v>242.59502811458785</v>
      </c>
      <c r="T203" s="5">
        <f t="shared" si="81"/>
        <v>218.33552530312906</v>
      </c>
      <c r="U203" s="5">
        <f>U199</f>
        <v>240.94611685103573</v>
      </c>
      <c r="V203" s="5">
        <f>V199</f>
        <v>216.85150516593217</v>
      </c>
      <c r="W203" s="62">
        <f t="shared" si="77"/>
        <v>0.86570247933884303</v>
      </c>
    </row>
    <row r="204" spans="2:23" x14ac:dyDescent="0.35">
      <c r="B204">
        <v>183</v>
      </c>
      <c r="C204" s="16" t="str">
        <f t="shared" si="79"/>
        <v>Fri</v>
      </c>
      <c r="D204" s="12">
        <v>44834</v>
      </c>
      <c r="E204">
        <f t="shared" si="82"/>
        <v>0</v>
      </c>
      <c r="F204" s="61">
        <f t="shared" si="64"/>
        <v>242</v>
      </c>
      <c r="G204" s="61">
        <f t="shared" si="65"/>
        <v>51</v>
      </c>
      <c r="H204" s="61">
        <f t="shared" si="66"/>
        <v>183</v>
      </c>
      <c r="I204" s="61">
        <f t="shared" si="67"/>
        <v>134</v>
      </c>
      <c r="J204" s="61">
        <f t="shared" si="68"/>
        <v>30</v>
      </c>
      <c r="K204" s="11">
        <f t="shared" si="69"/>
        <v>0</v>
      </c>
      <c r="L204" s="11">
        <f t="shared" si="70"/>
        <v>0</v>
      </c>
      <c r="M204" s="11">
        <f t="shared" si="71"/>
        <v>0.74173553719008267</v>
      </c>
      <c r="N204" s="11">
        <f t="shared" si="72"/>
        <v>0.42339402717953678</v>
      </c>
      <c r="O204" s="11">
        <f t="shared" si="73"/>
        <v>0.12396694214876033</v>
      </c>
      <c r="P204" s="11">
        <f t="shared" si="74"/>
        <v>5.3204709193963105E-2</v>
      </c>
      <c r="Q204" s="20">
        <f t="shared" si="75"/>
        <v>0.47659873637349986</v>
      </c>
      <c r="R204" s="20">
        <f t="shared" si="76"/>
        <v>1</v>
      </c>
      <c r="S204" s="5">
        <f t="shared" si="80"/>
        <v>242.80114202253185</v>
      </c>
      <c r="T204" s="5">
        <f t="shared" si="81"/>
        <v>218.52102782027868</v>
      </c>
      <c r="U204" s="5">
        <f>U199</f>
        <v>240.94611685103573</v>
      </c>
      <c r="V204" s="5">
        <f>V199</f>
        <v>216.85150516593217</v>
      </c>
      <c r="W204" s="62">
        <f t="shared" si="77"/>
        <v>0.86570247933884303</v>
      </c>
    </row>
    <row r="205" spans="2:23" hidden="1" x14ac:dyDescent="0.35">
      <c r="U205" s="52">
        <f>U199</f>
        <v>240.94611685103573</v>
      </c>
      <c r="W205" s="53">
        <f t="shared" si="77"/>
        <v>0</v>
      </c>
    </row>
  </sheetData>
  <mergeCells count="2">
    <mergeCell ref="C19:D19"/>
    <mergeCell ref="C18:D1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096BD-395D-4F20-B3D9-28C1D96397D9}">
  <sheetPr>
    <pageSetUpPr autoPageBreaks="0"/>
  </sheetPr>
  <dimension ref="A1:AY147"/>
  <sheetViews>
    <sheetView zoomScale="80" zoomScaleNormal="80" workbookViewId="0">
      <selection activeCell="F13" activeCellId="1" sqref="F6:F7 F13"/>
    </sheetView>
  </sheetViews>
  <sheetFormatPr defaultRowHeight="14.5" zeroHeight="1" x14ac:dyDescent="0.35"/>
  <cols>
    <col min="1" max="1" width="3.08984375" customWidth="1"/>
    <col min="2" max="2" width="6" bestFit="1" customWidth="1"/>
    <col min="3" max="3" width="22.08984375" customWidth="1"/>
    <col min="4" max="4" width="14.36328125" customWidth="1"/>
    <col min="5" max="5" width="8.36328125" customWidth="1"/>
    <col min="6" max="6" width="7.6328125" customWidth="1"/>
    <col min="7" max="7" width="7.81640625" customWidth="1"/>
    <col min="8" max="13" width="7.6328125" customWidth="1"/>
    <col min="14" max="15" width="7.81640625" customWidth="1"/>
    <col min="16" max="16" width="7.6328125" customWidth="1"/>
    <col min="17" max="17" width="19.6328125" customWidth="1"/>
    <col min="18" max="18" width="7.81640625" customWidth="1"/>
    <col min="19" max="19" width="9.08984375" customWidth="1"/>
    <col min="20" max="20" width="8.36328125" customWidth="1"/>
    <col min="21" max="21" width="9.08984375" customWidth="1"/>
    <col min="22" max="22" width="9.36328125" customWidth="1"/>
    <col min="23" max="24" width="10.36328125" customWidth="1"/>
    <col min="25" max="25" width="10.6328125" bestFit="1" customWidth="1"/>
    <col min="26" max="26" width="11.81640625" customWidth="1"/>
    <col min="27" max="27" width="19.36328125" bestFit="1" customWidth="1"/>
    <col min="28" max="28" width="18.08984375" bestFit="1" customWidth="1"/>
    <col min="29" max="29" width="13.81640625" bestFit="1" customWidth="1"/>
    <col min="30" max="30" width="11.36328125" bestFit="1" customWidth="1"/>
    <col min="31" max="31" width="11.6328125" bestFit="1" customWidth="1"/>
    <col min="32" max="32" width="11" customWidth="1"/>
    <col min="33" max="33" width="12.08984375" customWidth="1"/>
    <col min="34" max="35" width="14.81640625" bestFit="1" customWidth="1"/>
    <col min="36" max="36" width="11" bestFit="1" customWidth="1"/>
    <col min="37" max="37" width="11.6328125" customWidth="1"/>
    <col min="38" max="38" width="8.08984375" bestFit="1" customWidth="1"/>
    <col min="39" max="39" width="9.36328125" bestFit="1" customWidth="1"/>
    <col min="40" max="40" width="10" bestFit="1" customWidth="1"/>
    <col min="41" max="45" width="15.6328125" customWidth="1"/>
  </cols>
  <sheetData>
    <row r="1" spans="1:51" s="26" customFormat="1" ht="60" customHeight="1" x14ac:dyDescent="0.35"/>
    <row r="2" spans="1:51" x14ac:dyDescent="0.35">
      <c r="A2" s="28" t="s">
        <v>144</v>
      </c>
      <c r="B2" s="2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51" x14ac:dyDescent="0.3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51" x14ac:dyDescent="0.3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X4" s="10"/>
      <c r="AY4" s="13"/>
    </row>
    <row r="5" spans="1:51" ht="26.5" x14ac:dyDescent="0.35">
      <c r="A5" s="26"/>
      <c r="B5" s="26"/>
      <c r="C5" s="28" t="s">
        <v>36</v>
      </c>
      <c r="D5" s="28" t="s">
        <v>37</v>
      </c>
      <c r="E5" s="28" t="s">
        <v>38</v>
      </c>
      <c r="F5" s="26"/>
      <c r="G5" s="26"/>
      <c r="H5" s="26"/>
      <c r="I5" s="26"/>
      <c r="J5" s="26"/>
      <c r="K5" s="26"/>
      <c r="L5" s="26"/>
      <c r="M5" s="26"/>
      <c r="N5" s="26"/>
      <c r="O5" s="26"/>
      <c r="P5" s="26"/>
      <c r="Q5" s="26"/>
      <c r="R5" s="26"/>
      <c r="S5" s="26"/>
      <c r="T5" s="26"/>
      <c r="U5" s="26"/>
      <c r="V5" s="26"/>
      <c r="W5" s="26"/>
      <c r="X5" s="26"/>
      <c r="Y5" s="26"/>
      <c r="Z5" s="26"/>
      <c r="AA5" s="35" t="s">
        <v>79</v>
      </c>
      <c r="AB5" s="35" t="s">
        <v>80</v>
      </c>
      <c r="AC5" s="35" t="s">
        <v>81</v>
      </c>
      <c r="AD5" s="35" t="s">
        <v>82</v>
      </c>
      <c r="AE5" s="35" t="s">
        <v>83</v>
      </c>
      <c r="AF5" s="35" t="s">
        <v>84</v>
      </c>
      <c r="AG5" s="35" t="s">
        <v>85</v>
      </c>
      <c r="AH5" s="35" t="s">
        <v>86</v>
      </c>
      <c r="AI5" s="35" t="s">
        <v>87</v>
      </c>
      <c r="AJ5" s="35" t="s">
        <v>88</v>
      </c>
      <c r="AK5" s="35" t="s">
        <v>88</v>
      </c>
      <c r="AL5" s="35" t="s">
        <v>89</v>
      </c>
      <c r="AM5" s="35" t="s">
        <v>145</v>
      </c>
      <c r="AN5" s="35" t="s">
        <v>146</v>
      </c>
    </row>
    <row r="6" spans="1:51" ht="16.5" x14ac:dyDescent="0.45">
      <c r="A6" s="26"/>
      <c r="B6" s="26"/>
      <c r="C6" s="26" t="s">
        <v>100</v>
      </c>
      <c r="D6" s="33">
        <f>IF('Elec Calculations'!C6='Elec Calculations'!C32,D16,D17)</f>
        <v>0.24292945617678946</v>
      </c>
      <c r="E6" s="27" t="s">
        <v>48</v>
      </c>
      <c r="F6" s="78" t="s">
        <v>101</v>
      </c>
      <c r="G6" s="26"/>
      <c r="H6" s="26"/>
      <c r="I6" s="26"/>
      <c r="J6" s="26"/>
      <c r="K6" s="26"/>
      <c r="L6" s="26"/>
      <c r="M6" s="26"/>
      <c r="N6" s="26"/>
      <c r="O6" s="26"/>
      <c r="P6" s="26"/>
      <c r="Q6" s="26"/>
      <c r="R6" s="26"/>
      <c r="S6" s="26"/>
      <c r="T6" s="26"/>
      <c r="U6" s="26"/>
      <c r="V6" s="26"/>
      <c r="W6" s="26"/>
      <c r="X6" s="26"/>
      <c r="Y6" s="1" t="s">
        <v>92</v>
      </c>
      <c r="Z6" s="1" t="s">
        <v>93</v>
      </c>
      <c r="AA6" s="2">
        <v>43132</v>
      </c>
      <c r="AB6" s="2">
        <v>43312</v>
      </c>
      <c r="AC6" s="6">
        <f t="shared" ref="AC6:AC15" si="0">AB6-AA6</f>
        <v>180</v>
      </c>
      <c r="AD6" s="2">
        <f t="shared" ref="AD6:AD15" si="1">AB6+1</f>
        <v>43313</v>
      </c>
      <c r="AE6" s="2">
        <f t="shared" ref="AE6:AE15" si="2">AF6-1</f>
        <v>43373</v>
      </c>
      <c r="AF6" s="2">
        <v>43374</v>
      </c>
      <c r="AG6" s="2">
        <v>43555</v>
      </c>
      <c r="AH6" s="2">
        <f t="shared" ref="AH6:AH15" si="3">AF6</f>
        <v>43374</v>
      </c>
      <c r="AI6" s="2">
        <f t="shared" ref="AI6:AI14" si="4">AG7</f>
        <v>43738</v>
      </c>
      <c r="AJ6" s="2">
        <f t="shared" ref="AJ6:AJ15" si="5">AF6</f>
        <v>43374</v>
      </c>
      <c r="AK6" s="2">
        <v>43555</v>
      </c>
      <c r="AL6" s="6">
        <f t="shared" ref="AL6:AL15" si="6">AK6-AJ6</f>
        <v>181</v>
      </c>
      <c r="AM6" s="6"/>
      <c r="AN6" s="6"/>
      <c r="AW6" s="5"/>
    </row>
    <row r="7" spans="1:51" ht="16.5" x14ac:dyDescent="0.45">
      <c r="A7" s="26"/>
      <c r="B7" s="26"/>
      <c r="C7" s="26" t="s">
        <v>104</v>
      </c>
      <c r="D7" s="33">
        <f>IF('Elec Calculations'!C6='Elec Calculations'!C32,E16,E17)</f>
        <v>0.75707054382320926</v>
      </c>
      <c r="E7" s="27" t="s">
        <v>48</v>
      </c>
      <c r="F7" s="78" t="s">
        <v>105</v>
      </c>
      <c r="G7" s="26"/>
      <c r="H7" s="26"/>
      <c r="I7" s="26"/>
      <c r="J7" s="26"/>
      <c r="K7" s="26"/>
      <c r="L7" s="26"/>
      <c r="M7" s="26"/>
      <c r="N7" s="26"/>
      <c r="O7" s="26"/>
      <c r="P7" s="26"/>
      <c r="Q7" s="26"/>
      <c r="R7" s="26"/>
      <c r="S7" s="26"/>
      <c r="T7" s="26"/>
      <c r="U7" s="26"/>
      <c r="V7" s="26"/>
      <c r="W7" s="26"/>
      <c r="X7" s="26"/>
      <c r="Y7" s="3" t="s">
        <v>95</v>
      </c>
      <c r="Z7" s="3" t="s">
        <v>96</v>
      </c>
      <c r="AA7" s="4">
        <f t="shared" ref="AA7:AA15" si="7">AB6+1</f>
        <v>43313</v>
      </c>
      <c r="AB7" s="4">
        <v>43496</v>
      </c>
      <c r="AC7" s="7">
        <f t="shared" si="0"/>
        <v>183</v>
      </c>
      <c r="AD7" s="4">
        <f t="shared" si="1"/>
        <v>43497</v>
      </c>
      <c r="AE7" s="4">
        <f t="shared" si="2"/>
        <v>43555</v>
      </c>
      <c r="AF7" s="4">
        <f t="shared" ref="AF7:AF15" si="8">AG6+1</f>
        <v>43556</v>
      </c>
      <c r="AG7" s="4">
        <v>43738</v>
      </c>
      <c r="AH7" s="4">
        <f t="shared" si="3"/>
        <v>43556</v>
      </c>
      <c r="AI7" s="4">
        <f t="shared" si="4"/>
        <v>43921</v>
      </c>
      <c r="AJ7" s="4">
        <f t="shared" si="5"/>
        <v>43556</v>
      </c>
      <c r="AK7" s="4">
        <v>43738</v>
      </c>
      <c r="AL7" s="7">
        <f t="shared" si="6"/>
        <v>182</v>
      </c>
      <c r="AM7" s="7"/>
      <c r="AN7" s="7"/>
      <c r="AW7" s="5"/>
    </row>
    <row r="8" spans="1:51" x14ac:dyDescent="0.35">
      <c r="A8" s="26"/>
      <c r="B8" s="26"/>
      <c r="C8" s="26" t="s">
        <v>14</v>
      </c>
      <c r="D8" s="8">
        <f>'Elec Calculations'!C4</f>
        <v>44762</v>
      </c>
      <c r="E8" s="27"/>
      <c r="F8" s="26"/>
      <c r="G8" s="26"/>
      <c r="H8" s="26"/>
      <c r="I8" s="26"/>
      <c r="J8" s="26"/>
      <c r="K8" s="26"/>
      <c r="L8" s="26"/>
      <c r="M8" s="26"/>
      <c r="N8" s="26"/>
      <c r="O8" s="26"/>
      <c r="P8" s="26"/>
      <c r="Q8" s="26"/>
      <c r="R8" s="26"/>
      <c r="S8" s="26"/>
      <c r="T8" s="26"/>
      <c r="U8" s="26"/>
      <c r="V8" s="26"/>
      <c r="W8" s="26"/>
      <c r="X8" s="26"/>
      <c r="Y8" s="1" t="s">
        <v>98</v>
      </c>
      <c r="Z8" s="1" t="s">
        <v>99</v>
      </c>
      <c r="AA8" s="2">
        <f t="shared" si="7"/>
        <v>43497</v>
      </c>
      <c r="AB8" s="2">
        <v>43677</v>
      </c>
      <c r="AC8" s="6">
        <f t="shared" si="0"/>
        <v>180</v>
      </c>
      <c r="AD8" s="2">
        <f t="shared" si="1"/>
        <v>43678</v>
      </c>
      <c r="AE8" s="2">
        <f t="shared" si="2"/>
        <v>43738</v>
      </c>
      <c r="AF8" s="2">
        <f t="shared" si="8"/>
        <v>43739</v>
      </c>
      <c r="AG8" s="2">
        <v>43921</v>
      </c>
      <c r="AH8" s="2">
        <f t="shared" si="3"/>
        <v>43739</v>
      </c>
      <c r="AI8" s="2">
        <f t="shared" si="4"/>
        <v>44104</v>
      </c>
      <c r="AJ8" s="2">
        <f t="shared" si="5"/>
        <v>43739</v>
      </c>
      <c r="AK8" s="2">
        <v>43921</v>
      </c>
      <c r="AL8" s="6">
        <f t="shared" si="6"/>
        <v>182</v>
      </c>
      <c r="AM8" s="6"/>
      <c r="AN8" s="6"/>
      <c r="AW8" s="5"/>
    </row>
    <row r="9" spans="1:51" x14ac:dyDescent="0.35">
      <c r="A9" s="26"/>
      <c r="B9" s="26"/>
      <c r="C9" s="26" t="s">
        <v>31</v>
      </c>
      <c r="D9" s="16" t="str">
        <f>IF(SUMIF('Elec Wc'!$D$23:$D$147,D8,'Elec Wc'!$A$23:$A$147)=1,"Yes","No")</f>
        <v>Yes</v>
      </c>
      <c r="E9" s="27"/>
      <c r="F9" s="26"/>
      <c r="G9" s="26"/>
      <c r="H9" s="26"/>
      <c r="I9" s="26"/>
      <c r="J9" s="26"/>
      <c r="K9" s="26"/>
      <c r="L9" s="26"/>
      <c r="M9" s="26"/>
      <c r="N9" s="26"/>
      <c r="O9" s="26"/>
      <c r="P9" s="26"/>
      <c r="Q9" s="26"/>
      <c r="R9" s="26"/>
      <c r="S9" s="26"/>
      <c r="T9" s="26"/>
      <c r="U9" s="26"/>
      <c r="V9" s="26"/>
      <c r="W9" s="26"/>
      <c r="X9" s="26"/>
      <c r="Y9" s="3" t="s">
        <v>102</v>
      </c>
      <c r="Z9" s="3" t="s">
        <v>103</v>
      </c>
      <c r="AA9" s="4">
        <f t="shared" si="7"/>
        <v>43678</v>
      </c>
      <c r="AB9" s="4">
        <v>43861</v>
      </c>
      <c r="AC9" s="7">
        <f t="shared" si="0"/>
        <v>183</v>
      </c>
      <c r="AD9" s="4">
        <f t="shared" si="1"/>
        <v>43862</v>
      </c>
      <c r="AE9" s="4">
        <f t="shared" si="2"/>
        <v>43921</v>
      </c>
      <c r="AF9" s="4">
        <f t="shared" si="8"/>
        <v>43922</v>
      </c>
      <c r="AG9" s="4">
        <v>44104</v>
      </c>
      <c r="AH9" s="4">
        <f t="shared" si="3"/>
        <v>43922</v>
      </c>
      <c r="AI9" s="4">
        <f t="shared" si="4"/>
        <v>44286</v>
      </c>
      <c r="AJ9" s="4">
        <f t="shared" si="5"/>
        <v>43922</v>
      </c>
      <c r="AK9" s="4">
        <v>44104</v>
      </c>
      <c r="AL9" s="7">
        <f t="shared" si="6"/>
        <v>182</v>
      </c>
      <c r="AM9" s="7"/>
      <c r="AN9" s="7"/>
      <c r="AW9" s="5"/>
    </row>
    <row r="10" spans="1:51" x14ac:dyDescent="0.35">
      <c r="A10" s="26"/>
      <c r="B10" s="26"/>
      <c r="C10" s="26" t="s">
        <v>147</v>
      </c>
      <c r="D10" s="29">
        <f>SUMIF($D$23:$D$147,$D$8,K$23:K$147)</f>
        <v>0.30952380952380953</v>
      </c>
      <c r="E10" s="26"/>
      <c r="F10" s="26"/>
      <c r="G10" s="26"/>
      <c r="H10" s="26"/>
      <c r="I10" s="26"/>
      <c r="J10" s="26"/>
      <c r="K10" s="26"/>
      <c r="L10" s="26"/>
      <c r="M10" s="26"/>
      <c r="N10" s="26"/>
      <c r="O10" s="26"/>
      <c r="P10" s="26"/>
      <c r="Q10" s="26"/>
      <c r="R10" s="26"/>
      <c r="S10" s="26"/>
      <c r="T10" s="26"/>
      <c r="U10" s="26"/>
      <c r="V10" s="26"/>
      <c r="W10" s="26"/>
      <c r="X10" s="26"/>
      <c r="Y10" s="1" t="s">
        <v>106</v>
      </c>
      <c r="Z10" s="1" t="s">
        <v>107</v>
      </c>
      <c r="AA10" s="2">
        <f t="shared" si="7"/>
        <v>43862</v>
      </c>
      <c r="AB10" s="2">
        <v>44043</v>
      </c>
      <c r="AC10" s="6">
        <f t="shared" si="0"/>
        <v>181</v>
      </c>
      <c r="AD10" s="2">
        <f t="shared" si="1"/>
        <v>44044</v>
      </c>
      <c r="AE10" s="2">
        <f t="shared" si="2"/>
        <v>44104</v>
      </c>
      <c r="AF10" s="2">
        <f t="shared" si="8"/>
        <v>44105</v>
      </c>
      <c r="AG10" s="2">
        <v>44286</v>
      </c>
      <c r="AH10" s="2">
        <f t="shared" si="3"/>
        <v>44105</v>
      </c>
      <c r="AI10" s="2">
        <f t="shared" si="4"/>
        <v>44469</v>
      </c>
      <c r="AJ10" s="2">
        <f t="shared" si="5"/>
        <v>44105</v>
      </c>
      <c r="AK10" s="2">
        <v>44286</v>
      </c>
      <c r="AL10" s="6">
        <f t="shared" si="6"/>
        <v>181</v>
      </c>
      <c r="AM10" s="6"/>
      <c r="AN10" s="6"/>
      <c r="AW10" s="5"/>
    </row>
    <row r="11" spans="1:51" x14ac:dyDescent="0.35">
      <c r="A11" s="26"/>
      <c r="B11" s="26"/>
      <c r="C11" s="37" t="s">
        <v>148</v>
      </c>
      <c r="D11" s="29">
        <f>SUMIF($D$23:$D$147,$D$8,M$23:M$147)</f>
        <v>0.56547619047619047</v>
      </c>
      <c r="E11" s="26"/>
      <c r="F11" s="26"/>
      <c r="G11" s="26"/>
      <c r="H11" s="26"/>
      <c r="I11" s="26"/>
      <c r="J11" s="26"/>
      <c r="K11" s="26"/>
      <c r="L11" s="26"/>
      <c r="M11" s="26"/>
      <c r="N11" s="26"/>
      <c r="O11" s="26"/>
      <c r="P11" s="26"/>
      <c r="Q11" s="26"/>
      <c r="R11" s="26"/>
      <c r="S11" s="26"/>
      <c r="T11" s="26"/>
      <c r="U11" s="26"/>
      <c r="V11" s="26"/>
      <c r="W11" s="26"/>
      <c r="X11" s="26"/>
      <c r="Y11" s="3" t="s">
        <v>110</v>
      </c>
      <c r="Z11" s="3" t="s">
        <v>111</v>
      </c>
      <c r="AA11" s="4">
        <f t="shared" si="7"/>
        <v>44044</v>
      </c>
      <c r="AB11" s="4">
        <v>44227</v>
      </c>
      <c r="AC11" s="7">
        <f t="shared" si="0"/>
        <v>183</v>
      </c>
      <c r="AD11" s="4">
        <f t="shared" si="1"/>
        <v>44228</v>
      </c>
      <c r="AE11" s="4">
        <f t="shared" si="2"/>
        <v>44286</v>
      </c>
      <c r="AF11" s="4">
        <f t="shared" si="8"/>
        <v>44287</v>
      </c>
      <c r="AG11" s="4">
        <v>44469</v>
      </c>
      <c r="AH11" s="4">
        <f t="shared" si="3"/>
        <v>44287</v>
      </c>
      <c r="AI11" s="4">
        <f t="shared" si="4"/>
        <v>44651</v>
      </c>
      <c r="AJ11" s="4">
        <f t="shared" si="5"/>
        <v>44287</v>
      </c>
      <c r="AK11" s="4">
        <v>44469</v>
      </c>
      <c r="AL11" s="7">
        <f t="shared" si="6"/>
        <v>182</v>
      </c>
      <c r="AM11" s="7"/>
      <c r="AN11" s="7"/>
      <c r="AW11" s="5"/>
    </row>
    <row r="12" spans="1:51" x14ac:dyDescent="0.35">
      <c r="A12" s="26"/>
      <c r="B12" s="26"/>
      <c r="C12" s="26" t="s">
        <v>149</v>
      </c>
      <c r="D12" s="29">
        <f>SUMIF($D$23:$D$147,$D$8,O$23:O$147)</f>
        <v>0</v>
      </c>
      <c r="E12" s="26"/>
      <c r="F12" s="26"/>
      <c r="G12" s="26"/>
      <c r="H12" s="26"/>
      <c r="I12" s="26"/>
      <c r="J12" s="26"/>
      <c r="K12" s="26"/>
      <c r="L12" s="26"/>
      <c r="M12" s="26"/>
      <c r="N12" s="26"/>
      <c r="O12" s="26"/>
      <c r="P12" s="26"/>
      <c r="Q12" s="26"/>
      <c r="R12" s="26"/>
      <c r="S12" s="26"/>
      <c r="T12" s="26"/>
      <c r="U12" s="26"/>
      <c r="V12" s="26"/>
      <c r="W12" s="26"/>
      <c r="X12" s="26"/>
      <c r="Y12" s="1" t="s">
        <v>114</v>
      </c>
      <c r="Z12" s="1" t="s">
        <v>115</v>
      </c>
      <c r="AA12" s="2">
        <f t="shared" si="7"/>
        <v>44228</v>
      </c>
      <c r="AB12" s="2">
        <v>44408</v>
      </c>
      <c r="AC12" s="6">
        <f t="shared" si="0"/>
        <v>180</v>
      </c>
      <c r="AD12" s="2">
        <f t="shared" si="1"/>
        <v>44409</v>
      </c>
      <c r="AE12" s="2">
        <f t="shared" si="2"/>
        <v>44469</v>
      </c>
      <c r="AF12" s="2">
        <f t="shared" si="8"/>
        <v>44470</v>
      </c>
      <c r="AG12" s="2">
        <v>44651</v>
      </c>
      <c r="AH12" s="2">
        <f t="shared" si="3"/>
        <v>44470</v>
      </c>
      <c r="AI12" s="2">
        <f t="shared" si="4"/>
        <v>44834</v>
      </c>
      <c r="AJ12" s="2">
        <f t="shared" si="5"/>
        <v>44470</v>
      </c>
      <c r="AK12" s="2">
        <v>44651</v>
      </c>
      <c r="AL12" s="6">
        <f t="shared" si="6"/>
        <v>181</v>
      </c>
      <c r="AM12" s="6"/>
      <c r="AN12" s="6"/>
      <c r="AW12" s="5"/>
    </row>
    <row r="13" spans="1:51" x14ac:dyDescent="0.35">
      <c r="A13" s="26"/>
      <c r="B13" s="26"/>
      <c r="C13" s="38" t="s">
        <v>150</v>
      </c>
      <c r="D13" s="18">
        <f>SUMIF($D$23:$D$147,$D$8,W$23:W$147)</f>
        <v>78.540083988541724</v>
      </c>
      <c r="E13" s="27" t="str">
        <f>IF('Elec Calculations'!$C$6='Elec Calculations'!$C$32,"p/therm","£/MWh")</f>
        <v>£/MWh</v>
      </c>
      <c r="F13" s="78" t="s">
        <v>151</v>
      </c>
      <c r="G13" s="26"/>
      <c r="H13" s="26"/>
      <c r="I13" s="26"/>
      <c r="J13" s="26"/>
      <c r="K13" s="26"/>
      <c r="L13" s="26"/>
      <c r="M13" s="26"/>
      <c r="N13" s="26"/>
      <c r="O13" s="26"/>
      <c r="P13" s="26"/>
      <c r="Q13" s="26"/>
      <c r="R13" s="26"/>
      <c r="S13" s="26"/>
      <c r="T13" s="26"/>
      <c r="U13" s="26"/>
      <c r="V13" s="26"/>
      <c r="W13" s="26"/>
      <c r="X13" s="26"/>
      <c r="Y13" s="3" t="s">
        <v>116</v>
      </c>
      <c r="Z13" s="3" t="s">
        <v>117</v>
      </c>
      <c r="AA13" s="4">
        <f t="shared" si="7"/>
        <v>44409</v>
      </c>
      <c r="AB13" s="4">
        <v>44592</v>
      </c>
      <c r="AC13" s="7">
        <f t="shared" si="0"/>
        <v>183</v>
      </c>
      <c r="AD13" s="4">
        <f t="shared" si="1"/>
        <v>44593</v>
      </c>
      <c r="AE13" s="4">
        <f t="shared" si="2"/>
        <v>44651</v>
      </c>
      <c r="AF13" s="4">
        <f t="shared" si="8"/>
        <v>44652</v>
      </c>
      <c r="AG13" s="4">
        <v>44834</v>
      </c>
      <c r="AH13" s="4">
        <f t="shared" si="3"/>
        <v>44652</v>
      </c>
      <c r="AI13" s="4">
        <f t="shared" si="4"/>
        <v>45016</v>
      </c>
      <c r="AJ13" s="4">
        <f t="shared" si="5"/>
        <v>44652</v>
      </c>
      <c r="AK13" s="4">
        <v>44834</v>
      </c>
      <c r="AL13" s="7">
        <f t="shared" si="6"/>
        <v>182</v>
      </c>
      <c r="AM13" s="7">
        <f>COUNTIF(C$23:C$147,"Mon")+COUNTIF(C$23:C$147,"Tue")+COUNTIF(C$23:C$147,"Wed")+COUNTIF(C$23:C$147,"Thu")+COUNTIF(C$23:C$147,"Fri")</f>
        <v>125</v>
      </c>
      <c r="AN13" s="7">
        <v>6</v>
      </c>
      <c r="AW13" s="5"/>
    </row>
    <row r="14" spans="1:51" x14ac:dyDescent="0.35">
      <c r="A14" s="26"/>
      <c r="B14" s="26"/>
      <c r="C14" s="26"/>
      <c r="D14" s="26"/>
      <c r="E14" s="26"/>
      <c r="F14" s="26"/>
      <c r="G14" s="26"/>
      <c r="H14" s="26"/>
      <c r="I14" s="26"/>
      <c r="J14" s="26"/>
      <c r="K14" s="26"/>
      <c r="L14" s="26"/>
      <c r="M14" s="26"/>
      <c r="N14" s="26"/>
      <c r="O14" s="26"/>
      <c r="P14" s="26"/>
      <c r="Q14" s="26"/>
      <c r="R14" s="26"/>
      <c r="S14" s="26"/>
      <c r="T14" s="26"/>
      <c r="U14" s="26"/>
      <c r="V14" s="26"/>
      <c r="W14" s="26"/>
      <c r="X14" s="26"/>
      <c r="Y14" s="1" t="s">
        <v>118</v>
      </c>
      <c r="Z14" s="1" t="s">
        <v>119</v>
      </c>
      <c r="AA14" s="2">
        <f t="shared" si="7"/>
        <v>44593</v>
      </c>
      <c r="AB14" s="2">
        <v>44773</v>
      </c>
      <c r="AC14" s="6">
        <f t="shared" si="0"/>
        <v>180</v>
      </c>
      <c r="AD14" s="2">
        <f t="shared" si="1"/>
        <v>44774</v>
      </c>
      <c r="AE14" s="2">
        <f t="shared" si="2"/>
        <v>44834</v>
      </c>
      <c r="AF14" s="2">
        <f t="shared" si="8"/>
        <v>44835</v>
      </c>
      <c r="AG14" s="2">
        <v>45016</v>
      </c>
      <c r="AH14" s="2">
        <f t="shared" si="3"/>
        <v>44835</v>
      </c>
      <c r="AI14" s="2">
        <f t="shared" si="4"/>
        <v>45199</v>
      </c>
      <c r="AJ14" s="2">
        <f t="shared" si="5"/>
        <v>44835</v>
      </c>
      <c r="AK14" s="2">
        <v>45016</v>
      </c>
      <c r="AL14" s="6">
        <f t="shared" si="6"/>
        <v>181</v>
      </c>
      <c r="AM14" s="6"/>
      <c r="AN14" s="6"/>
      <c r="AW14" s="5"/>
    </row>
    <row r="15" spans="1:51" x14ac:dyDescent="0.35">
      <c r="A15" s="26"/>
      <c r="B15" s="26"/>
      <c r="C15" s="26"/>
      <c r="D15" s="26" t="s">
        <v>101</v>
      </c>
      <c r="E15" s="26" t="s">
        <v>105</v>
      </c>
      <c r="F15" s="26"/>
      <c r="G15" s="26"/>
      <c r="H15" s="26"/>
      <c r="I15" s="26"/>
      <c r="J15" s="26"/>
      <c r="K15" s="26"/>
      <c r="L15" s="26"/>
      <c r="M15" s="26"/>
      <c r="N15" s="26"/>
      <c r="O15" s="26"/>
      <c r="P15" s="26"/>
      <c r="Q15" s="26"/>
      <c r="R15" s="26"/>
      <c r="S15" s="26"/>
      <c r="T15" s="26"/>
      <c r="U15" s="26"/>
      <c r="V15" s="26"/>
      <c r="W15" s="26"/>
      <c r="X15" s="26"/>
      <c r="Y15" s="3" t="s">
        <v>120</v>
      </c>
      <c r="Z15" s="3" t="s">
        <v>121</v>
      </c>
      <c r="AA15" s="4">
        <f t="shared" si="7"/>
        <v>44774</v>
      </c>
      <c r="AB15" s="4">
        <v>44957</v>
      </c>
      <c r="AC15" s="7">
        <f t="shared" si="0"/>
        <v>183</v>
      </c>
      <c r="AD15" s="4">
        <f t="shared" si="1"/>
        <v>44958</v>
      </c>
      <c r="AE15" s="4">
        <f t="shared" si="2"/>
        <v>45016</v>
      </c>
      <c r="AF15" s="4">
        <f t="shared" si="8"/>
        <v>45017</v>
      </c>
      <c r="AG15" s="4">
        <v>45199</v>
      </c>
      <c r="AH15" s="4">
        <f t="shared" si="3"/>
        <v>45017</v>
      </c>
      <c r="AI15" s="4">
        <v>45382</v>
      </c>
      <c r="AJ15" s="4">
        <f t="shared" si="5"/>
        <v>45017</v>
      </c>
      <c r="AK15" s="4">
        <v>45199</v>
      </c>
      <c r="AL15" s="7">
        <f t="shared" si="6"/>
        <v>182</v>
      </c>
      <c r="AM15" s="7"/>
      <c r="AN15" s="7"/>
      <c r="AW15" s="5"/>
    </row>
    <row r="16" spans="1:51" x14ac:dyDescent="0.35">
      <c r="A16" s="26"/>
      <c r="B16" s="26"/>
      <c r="C16" s="26" t="s">
        <v>122</v>
      </c>
      <c r="D16" s="31">
        <v>0.42918465416463569</v>
      </c>
      <c r="E16" s="31">
        <v>0.57081534583536431</v>
      </c>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W16" s="5"/>
    </row>
    <row r="17" spans="1:49" x14ac:dyDescent="0.35">
      <c r="A17" s="26"/>
      <c r="B17" s="26"/>
      <c r="C17" s="26" t="s">
        <v>58</v>
      </c>
      <c r="D17" s="31">
        <v>0.24292945617678946</v>
      </c>
      <c r="E17" s="31">
        <v>0.75707054382320926</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W17" s="5"/>
    </row>
    <row r="18" spans="1:49" ht="32.5" customHeight="1" x14ac:dyDescent="0.35">
      <c r="A18" s="26"/>
      <c r="B18" s="26"/>
      <c r="C18" s="87" t="s">
        <v>152</v>
      </c>
      <c r="D18" s="87"/>
      <c r="E18" s="26">
        <v>37</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W18" s="5"/>
    </row>
    <row r="19" spans="1:49" ht="29.15" customHeight="1" x14ac:dyDescent="0.35">
      <c r="A19" s="26"/>
      <c r="B19" s="26"/>
      <c r="C19" s="87" t="s">
        <v>153</v>
      </c>
      <c r="D19" s="87"/>
      <c r="E19" s="26">
        <v>168</v>
      </c>
      <c r="F19" s="26"/>
      <c r="G19" s="26"/>
      <c r="H19" s="26"/>
      <c r="I19" s="26"/>
      <c r="J19" s="26"/>
      <c r="K19" s="26"/>
      <c r="L19" s="26"/>
      <c r="M19" s="26"/>
      <c r="N19" s="31"/>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W19" s="5"/>
    </row>
    <row r="20" spans="1:49" ht="281.14999999999998" customHeight="1" x14ac:dyDescent="0.35">
      <c r="A20" s="26"/>
      <c r="B20" s="26"/>
      <c r="C20" s="26"/>
      <c r="D20" s="26"/>
      <c r="E20" s="26"/>
      <c r="F20" s="26"/>
      <c r="G20" s="26"/>
      <c r="H20" s="26"/>
      <c r="I20" s="26"/>
      <c r="J20" s="26"/>
      <c r="K20" s="26"/>
      <c r="L20" s="26"/>
      <c r="M20" s="26"/>
      <c r="N20" s="31"/>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W20" s="5"/>
    </row>
    <row r="21" spans="1:49" x14ac:dyDescent="0.35">
      <c r="A21" s="26"/>
      <c r="B21" s="26"/>
      <c r="C21" s="26"/>
      <c r="D21" s="26"/>
      <c r="E21" s="26"/>
      <c r="F21" s="26"/>
      <c r="G21" s="26"/>
      <c r="H21" s="26"/>
      <c r="I21" s="26"/>
      <c r="J21" s="26"/>
      <c r="K21" s="26"/>
      <c r="L21" s="26"/>
      <c r="M21" s="26"/>
      <c r="N21" s="40"/>
      <c r="O21" s="40"/>
      <c r="P21" s="40"/>
      <c r="Q21" s="40"/>
      <c r="R21" s="40"/>
      <c r="S21" s="40"/>
      <c r="T21" s="26"/>
      <c r="U21" s="26"/>
      <c r="V21" s="26"/>
      <c r="W21" s="26"/>
      <c r="X21" s="26"/>
      <c r="Y21" s="26"/>
      <c r="Z21" s="26"/>
      <c r="AA21" s="26"/>
      <c r="AB21" s="26"/>
      <c r="AC21" s="26"/>
      <c r="AD21" s="26"/>
      <c r="AE21" s="26"/>
      <c r="AF21" s="26"/>
      <c r="AG21" s="26"/>
      <c r="AH21" s="26"/>
      <c r="AI21" s="26"/>
      <c r="AJ21" s="26"/>
      <c r="AK21" s="26"/>
      <c r="AL21" s="26"/>
      <c r="AM21" s="26"/>
      <c r="AN21" s="26"/>
      <c r="AW21" s="5"/>
    </row>
    <row r="22" spans="1:49" ht="17.5" x14ac:dyDescent="0.45">
      <c r="B22" t="s">
        <v>125</v>
      </c>
      <c r="C22" s="17" t="s">
        <v>13</v>
      </c>
      <c r="D22" s="17" t="s">
        <v>14</v>
      </c>
      <c r="E22" s="17" t="s">
        <v>154</v>
      </c>
      <c r="F22" s="17" t="s">
        <v>155</v>
      </c>
      <c r="G22" s="17" t="s">
        <v>156</v>
      </c>
      <c r="H22" s="17" t="s">
        <v>157</v>
      </c>
      <c r="I22" s="17" t="s">
        <v>158</v>
      </c>
      <c r="J22" s="17" t="s">
        <v>159</v>
      </c>
      <c r="K22" s="17" t="s">
        <v>147</v>
      </c>
      <c r="L22" s="17" t="s">
        <v>160</v>
      </c>
      <c r="M22" s="17" t="s">
        <v>148</v>
      </c>
      <c r="N22" s="17" t="s">
        <v>161</v>
      </c>
      <c r="O22" s="17" t="s">
        <v>149</v>
      </c>
      <c r="P22" s="17" t="s">
        <v>162</v>
      </c>
      <c r="Q22" s="17" t="s">
        <v>163</v>
      </c>
      <c r="R22" s="17" t="s">
        <v>138</v>
      </c>
      <c r="S22" s="55" t="s">
        <v>164</v>
      </c>
      <c r="T22" s="55" t="s">
        <v>165</v>
      </c>
      <c r="U22" s="55" t="s">
        <v>166</v>
      </c>
      <c r="V22" s="17" t="s">
        <v>167</v>
      </c>
      <c r="W22" s="17" t="s">
        <v>168</v>
      </c>
      <c r="X22" s="26"/>
      <c r="Y22" s="26"/>
      <c r="Z22" s="26"/>
      <c r="AA22" s="26"/>
      <c r="AB22" s="26"/>
      <c r="AC22" s="26"/>
      <c r="AD22" s="39"/>
      <c r="AE22" s="26"/>
      <c r="AF22" s="39"/>
      <c r="AG22" s="39"/>
      <c r="AH22" s="39"/>
      <c r="AI22" s="26"/>
      <c r="AJ22" s="26"/>
      <c r="AK22" s="26"/>
      <c r="AL22" s="26"/>
      <c r="AM22" s="26"/>
      <c r="AN22" s="26"/>
      <c r="AW22" s="5"/>
    </row>
    <row r="23" spans="1:49" x14ac:dyDescent="0.35">
      <c r="A23" s="79">
        <v>1</v>
      </c>
      <c r="B23" s="79">
        <v>1</v>
      </c>
      <c r="C23" s="16" t="str">
        <f t="shared" ref="C23:C54" si="9">TEXT(D23,"ddd")</f>
        <v>Fri</v>
      </c>
      <c r="D23" s="12">
        <v>44652</v>
      </c>
      <c r="E23">
        <f>$AM$13</f>
        <v>125</v>
      </c>
      <c r="F23" s="61">
        <f>$E$19</f>
        <v>168</v>
      </c>
      <c r="G23" s="61">
        <f t="shared" ref="G23:G54" si="10">$E$18</f>
        <v>37</v>
      </c>
      <c r="H23" s="61">
        <f>B23</f>
        <v>1</v>
      </c>
      <c r="I23" s="61">
        <f>IF(D23&lt;$D$55,0,B23-32)</f>
        <v>0</v>
      </c>
      <c r="J23" s="61">
        <f>IF(D23&lt;$D$126,0,B23-103)</f>
        <v>0</v>
      </c>
      <c r="K23" s="11">
        <f>E23/F23</f>
        <v>0.74404761904761907</v>
      </c>
      <c r="L23" s="11">
        <f t="shared" ref="L23:L54" si="11">K23*$D$6</f>
        <v>0.18075108346487312</v>
      </c>
      <c r="M23" s="11">
        <f>(G23+0.5*(H23-I23)+(I23-J23))/F23</f>
        <v>0.22321428571428573</v>
      </c>
      <c r="N23" s="11">
        <f t="shared" ref="N23:N54" si="12">M23*$D$7</f>
        <v>0.1689889606748235</v>
      </c>
      <c r="O23" s="11">
        <f>J23/F23</f>
        <v>0</v>
      </c>
      <c r="P23" s="11">
        <f t="shared" ref="P23:P54" si="13">O23*$D$6</f>
        <v>0</v>
      </c>
      <c r="Q23" s="11">
        <f>L23+N23+P23</f>
        <v>0.34974004413969662</v>
      </c>
      <c r="R23" s="20">
        <f>(L23/Q23)+(N23/Q23)+(P23/Q23)</f>
        <v>1</v>
      </c>
      <c r="S23" s="56">
        <v>241.48249999999996</v>
      </c>
      <c r="T23" s="56">
        <v>247.04999999999998</v>
      </c>
      <c r="U23" s="56">
        <v>140.63999999999999</v>
      </c>
      <c r="V23" s="20">
        <f>((S23*L23)+(T23*N23)+(U23*P23))/(L23+N23+P23)</f>
        <v>244.17262958144784</v>
      </c>
      <c r="W23" s="20" t="s">
        <v>23</v>
      </c>
      <c r="X23" s="36"/>
      <c r="Y23" s="29"/>
      <c r="Z23" s="26"/>
      <c r="AA23" s="26"/>
      <c r="AB23" s="36"/>
      <c r="AC23" s="29"/>
      <c r="AD23" s="29"/>
      <c r="AE23" s="29"/>
      <c r="AF23" s="29"/>
      <c r="AG23" s="29"/>
      <c r="AH23" s="29"/>
      <c r="AI23" s="26"/>
      <c r="AJ23" s="26"/>
      <c r="AK23" s="26"/>
      <c r="AL23" s="26"/>
      <c r="AM23" s="26"/>
      <c r="AN23" s="26"/>
      <c r="AW23" s="5"/>
    </row>
    <row r="24" spans="1:49" x14ac:dyDescent="0.35">
      <c r="A24" s="79">
        <v>1</v>
      </c>
      <c r="B24" s="79">
        <v>2</v>
      </c>
      <c r="C24" s="16" t="str">
        <f t="shared" si="9"/>
        <v>Mon</v>
      </c>
      <c r="D24" s="12">
        <v>44655</v>
      </c>
      <c r="E24">
        <f>E23-1</f>
        <v>124</v>
      </c>
      <c r="F24" s="61">
        <f t="shared" ref="F24:F87" si="14">$E$19</f>
        <v>168</v>
      </c>
      <c r="G24" s="61">
        <f t="shared" si="10"/>
        <v>37</v>
      </c>
      <c r="H24" s="61">
        <f t="shared" ref="H24:H87" si="15">B24</f>
        <v>2</v>
      </c>
      <c r="I24" s="61">
        <f t="shared" ref="I24:I87" si="16">IF(D24&lt;$D$55,0,B24-32)</f>
        <v>0</v>
      </c>
      <c r="J24" s="61">
        <f t="shared" ref="J24:J87" si="17">IF(D24&lt;$D$126,0,B24-103)</f>
        <v>0</v>
      </c>
      <c r="K24" s="11">
        <f t="shared" ref="K24:K87" si="18">E24/F24</f>
        <v>0.73809523809523814</v>
      </c>
      <c r="L24" s="11">
        <f t="shared" si="11"/>
        <v>0.17930507479715413</v>
      </c>
      <c r="M24" s="11">
        <f t="shared" ref="M24:M87" si="19">(G24+0.5*(H24-I24)+(I24-J24))/F24</f>
        <v>0.22619047619047619</v>
      </c>
      <c r="N24" s="11">
        <f t="shared" si="12"/>
        <v>0.17124214681715447</v>
      </c>
      <c r="O24" s="11">
        <f t="shared" ref="O24:O87" si="20">J24/F24</f>
        <v>0</v>
      </c>
      <c r="P24" s="11">
        <f t="shared" si="13"/>
        <v>0</v>
      </c>
      <c r="Q24" s="11">
        <f t="shared" ref="Q24:Q87" si="21">L24+N24+P24</f>
        <v>0.35054722161430862</v>
      </c>
      <c r="R24" s="20">
        <f t="shared" ref="R24:R54" si="22">(L24/Q24)+(N24/Q24)+(P24/Q24)</f>
        <v>1</v>
      </c>
      <c r="S24" s="56">
        <v>227.43199999999999</v>
      </c>
      <c r="T24" s="56">
        <v>244.49999999999997</v>
      </c>
      <c r="U24" s="56">
        <v>144.29999999999998</v>
      </c>
      <c r="V24" s="20">
        <f>((S24*L24)+(T24*N24)+(U24*P24))/(L24+N24+P24)</f>
        <v>235.7697096769318</v>
      </c>
      <c r="W24" s="20">
        <f>AVERAGE(V19:V23)</f>
        <v>244.17262958144784</v>
      </c>
      <c r="X24" s="36"/>
      <c r="Y24" s="29"/>
      <c r="Z24" s="26"/>
      <c r="AA24" s="26"/>
      <c r="AB24" s="36"/>
      <c r="AC24" s="29"/>
      <c r="AD24" s="29"/>
      <c r="AE24" s="29"/>
      <c r="AF24" s="29"/>
      <c r="AG24" s="29"/>
      <c r="AH24" s="29"/>
      <c r="AI24" s="26"/>
      <c r="AJ24" s="26"/>
      <c r="AK24" s="26"/>
      <c r="AL24" s="26"/>
      <c r="AM24" s="26"/>
      <c r="AN24" s="26"/>
      <c r="AW24" s="5"/>
    </row>
    <row r="25" spans="1:49" x14ac:dyDescent="0.35">
      <c r="A25" s="79">
        <v>1</v>
      </c>
      <c r="B25" s="79">
        <v>3</v>
      </c>
      <c r="C25" s="16" t="str">
        <f t="shared" si="9"/>
        <v>Tue</v>
      </c>
      <c r="D25" s="12">
        <v>44656</v>
      </c>
      <c r="E25">
        <f>E24-1</f>
        <v>123</v>
      </c>
      <c r="F25" s="61">
        <f t="shared" si="14"/>
        <v>168</v>
      </c>
      <c r="G25" s="61">
        <f t="shared" si="10"/>
        <v>37</v>
      </c>
      <c r="H25" s="61">
        <f t="shared" si="15"/>
        <v>3</v>
      </c>
      <c r="I25" s="61">
        <f t="shared" si="16"/>
        <v>0</v>
      </c>
      <c r="J25" s="61">
        <f t="shared" si="17"/>
        <v>0</v>
      </c>
      <c r="K25" s="11">
        <f t="shared" si="18"/>
        <v>0.7321428571428571</v>
      </c>
      <c r="L25" s="11">
        <f t="shared" si="11"/>
        <v>0.17785906612943514</v>
      </c>
      <c r="M25" s="11">
        <f t="shared" si="19"/>
        <v>0.22916666666666666</v>
      </c>
      <c r="N25" s="11">
        <f t="shared" si="12"/>
        <v>0.17349533295948544</v>
      </c>
      <c r="O25" s="11">
        <f t="shared" si="20"/>
        <v>0</v>
      </c>
      <c r="P25" s="11">
        <f t="shared" si="13"/>
        <v>0</v>
      </c>
      <c r="Q25" s="11">
        <f t="shared" si="21"/>
        <v>0.35135439908892058</v>
      </c>
      <c r="R25" s="20">
        <f t="shared" si="22"/>
        <v>1</v>
      </c>
      <c r="S25" s="56">
        <v>225.06400000000002</v>
      </c>
      <c r="T25" s="56">
        <v>247.77499999999998</v>
      </c>
      <c r="U25" s="56">
        <v>149.02499999999998</v>
      </c>
      <c r="V25" s="20">
        <f>((S25*L25)+(T25*N25)+(U25*P25))/(L25+N25+P25)</f>
        <v>236.27846754917584</v>
      </c>
      <c r="W25" s="20">
        <f>W24</f>
        <v>244.17262958144784</v>
      </c>
      <c r="X25" s="36"/>
      <c r="Y25" s="29"/>
      <c r="Z25" s="26"/>
      <c r="AA25" s="26"/>
      <c r="AB25" s="36"/>
      <c r="AC25" s="29"/>
      <c r="AD25" s="29"/>
      <c r="AE25" s="29"/>
      <c r="AF25" s="29"/>
      <c r="AG25" s="29"/>
      <c r="AH25" s="29"/>
      <c r="AI25" s="26"/>
      <c r="AJ25" s="26"/>
      <c r="AK25" s="26"/>
      <c r="AL25" s="26"/>
      <c r="AM25" s="26"/>
      <c r="AN25" s="26"/>
      <c r="AW25" s="5"/>
    </row>
    <row r="26" spans="1:49" x14ac:dyDescent="0.35">
      <c r="A26" s="79">
        <v>1</v>
      </c>
      <c r="B26" s="79">
        <v>4</v>
      </c>
      <c r="C26" s="16" t="str">
        <f t="shared" si="9"/>
        <v>Wed</v>
      </c>
      <c r="D26" s="12">
        <v>44657</v>
      </c>
      <c r="E26">
        <f t="shared" ref="E26:E88" si="23">E25-1</f>
        <v>122</v>
      </c>
      <c r="F26" s="61">
        <f t="shared" si="14"/>
        <v>168</v>
      </c>
      <c r="G26" s="61">
        <f t="shared" si="10"/>
        <v>37</v>
      </c>
      <c r="H26" s="61">
        <f t="shared" si="15"/>
        <v>4</v>
      </c>
      <c r="I26" s="61">
        <f t="shared" si="16"/>
        <v>0</v>
      </c>
      <c r="J26" s="61">
        <f t="shared" si="17"/>
        <v>0</v>
      </c>
      <c r="K26" s="11">
        <f t="shared" si="18"/>
        <v>0.72619047619047616</v>
      </c>
      <c r="L26" s="11">
        <f t="shared" si="11"/>
        <v>0.17641305746171615</v>
      </c>
      <c r="M26" s="11">
        <f t="shared" si="19"/>
        <v>0.23214285714285715</v>
      </c>
      <c r="N26" s="11">
        <f t="shared" si="12"/>
        <v>0.17574851910181644</v>
      </c>
      <c r="O26" s="11">
        <f t="shared" si="20"/>
        <v>0</v>
      </c>
      <c r="P26" s="11">
        <f t="shared" si="13"/>
        <v>0</v>
      </c>
      <c r="Q26" s="11">
        <f t="shared" si="21"/>
        <v>0.35216157656353259</v>
      </c>
      <c r="R26" s="20">
        <f t="shared" si="22"/>
        <v>1</v>
      </c>
      <c r="S26" s="56">
        <v>226.09100000000001</v>
      </c>
      <c r="T26" s="56">
        <v>250.8</v>
      </c>
      <c r="U26" s="56">
        <v>151.91</v>
      </c>
      <c r="V26" s="20">
        <f t="shared" ref="V26:V54" si="24">((S26*L26)+(T26*N26)+(U26*P26))/(L26+N26+P26)</f>
        <v>238.4221867264524</v>
      </c>
      <c r="W26" s="20">
        <f>W25</f>
        <v>244.17262958144784</v>
      </c>
      <c r="X26" s="36"/>
      <c r="Y26" s="29"/>
      <c r="Z26" s="26"/>
      <c r="AA26" s="26"/>
      <c r="AB26" s="36"/>
      <c r="AC26" s="29"/>
      <c r="AD26" s="29"/>
      <c r="AE26" s="29"/>
      <c r="AF26" s="29"/>
      <c r="AG26" s="29"/>
      <c r="AH26" s="29"/>
      <c r="AI26" s="26"/>
      <c r="AJ26" s="26"/>
      <c r="AK26" s="26"/>
      <c r="AL26" s="26"/>
      <c r="AM26" s="26"/>
      <c r="AN26" s="26"/>
      <c r="AW26" s="5"/>
    </row>
    <row r="27" spans="1:49" x14ac:dyDescent="0.35">
      <c r="A27" s="79">
        <v>1</v>
      </c>
      <c r="B27" s="79">
        <v>5</v>
      </c>
      <c r="C27" s="16" t="s">
        <v>27</v>
      </c>
      <c r="D27" s="12">
        <v>44658</v>
      </c>
      <c r="E27">
        <f t="shared" si="23"/>
        <v>121</v>
      </c>
      <c r="F27" s="61">
        <f t="shared" si="14"/>
        <v>168</v>
      </c>
      <c r="G27" s="61">
        <f t="shared" si="10"/>
        <v>37</v>
      </c>
      <c r="H27" s="61">
        <f t="shared" si="15"/>
        <v>5</v>
      </c>
      <c r="I27" s="61">
        <f t="shared" si="16"/>
        <v>0</v>
      </c>
      <c r="J27" s="61">
        <f t="shared" si="17"/>
        <v>0</v>
      </c>
      <c r="K27" s="11">
        <f t="shared" si="18"/>
        <v>0.72023809523809523</v>
      </c>
      <c r="L27" s="11">
        <f t="shared" si="11"/>
        <v>0.17496704879399716</v>
      </c>
      <c r="M27" s="11">
        <f t="shared" si="19"/>
        <v>0.23511904761904762</v>
      </c>
      <c r="N27" s="11">
        <f t="shared" si="12"/>
        <v>0.17800170524414741</v>
      </c>
      <c r="O27" s="11">
        <f t="shared" si="20"/>
        <v>0</v>
      </c>
      <c r="P27" s="11">
        <f t="shared" si="13"/>
        <v>0</v>
      </c>
      <c r="Q27" s="11">
        <f t="shared" si="21"/>
        <v>0.35296875403814454</v>
      </c>
      <c r="R27" s="20">
        <f t="shared" si="22"/>
        <v>1</v>
      </c>
      <c r="S27" s="56">
        <v>222.39099999999999</v>
      </c>
      <c r="T27" s="56">
        <v>246.29999999999998</v>
      </c>
      <c r="U27" s="56">
        <v>153.26999999999998</v>
      </c>
      <c r="V27" s="20">
        <f t="shared" si="24"/>
        <v>234.44827907072025</v>
      </c>
      <c r="W27" s="20">
        <f>W26</f>
        <v>244.17262958144784</v>
      </c>
      <c r="X27" s="36"/>
      <c r="Y27" s="29"/>
      <c r="Z27" s="26"/>
      <c r="AA27" s="26"/>
      <c r="AB27" s="36"/>
      <c r="AC27" s="29"/>
      <c r="AD27" s="29"/>
      <c r="AE27" s="29"/>
      <c r="AF27" s="29"/>
      <c r="AG27" s="29"/>
      <c r="AH27" s="29"/>
      <c r="AI27" s="26"/>
      <c r="AJ27" s="26"/>
      <c r="AK27" s="26"/>
      <c r="AL27" s="26"/>
      <c r="AM27" s="26"/>
      <c r="AN27" s="26"/>
      <c r="AW27" s="5"/>
    </row>
    <row r="28" spans="1:49" x14ac:dyDescent="0.35">
      <c r="A28" s="79">
        <v>1</v>
      </c>
      <c r="B28" s="79">
        <v>6</v>
      </c>
      <c r="C28" s="16" t="str">
        <f t="shared" si="9"/>
        <v>Fri</v>
      </c>
      <c r="D28" s="12">
        <v>44659</v>
      </c>
      <c r="E28">
        <f t="shared" si="23"/>
        <v>120</v>
      </c>
      <c r="F28" s="61">
        <f t="shared" si="14"/>
        <v>168</v>
      </c>
      <c r="G28" s="61">
        <f t="shared" si="10"/>
        <v>37</v>
      </c>
      <c r="H28" s="61">
        <f t="shared" si="15"/>
        <v>6</v>
      </c>
      <c r="I28" s="61">
        <f t="shared" si="16"/>
        <v>0</v>
      </c>
      <c r="J28" s="61">
        <f t="shared" si="17"/>
        <v>0</v>
      </c>
      <c r="K28" s="11">
        <f t="shared" si="18"/>
        <v>0.7142857142857143</v>
      </c>
      <c r="L28" s="11">
        <f t="shared" si="11"/>
        <v>0.1735210401262782</v>
      </c>
      <c r="M28" s="11">
        <f t="shared" si="19"/>
        <v>0.23809523809523808</v>
      </c>
      <c r="N28" s="11">
        <f t="shared" si="12"/>
        <v>0.18025489138647838</v>
      </c>
      <c r="O28" s="11">
        <f t="shared" si="20"/>
        <v>0</v>
      </c>
      <c r="P28" s="11">
        <f t="shared" si="13"/>
        <v>0</v>
      </c>
      <c r="Q28" s="11">
        <f t="shared" si="21"/>
        <v>0.35377593151275655</v>
      </c>
      <c r="R28" s="20">
        <f t="shared" si="22"/>
        <v>1</v>
      </c>
      <c r="S28" s="56">
        <v>222.489</v>
      </c>
      <c r="T28" s="56">
        <v>247.8</v>
      </c>
      <c r="U28" s="56">
        <v>159.55000000000001</v>
      </c>
      <c r="V28" s="20">
        <f>((S28*L28)+(T28*N28)+(U28*P28))/(L28+N28+P28)</f>
        <v>235.38538765524285</v>
      </c>
      <c r="W28" s="20">
        <f>W27</f>
        <v>244.17262958144784</v>
      </c>
      <c r="X28" s="36"/>
      <c r="Y28" s="29"/>
      <c r="Z28" s="26"/>
      <c r="AA28" s="26"/>
      <c r="AB28" s="36"/>
      <c r="AC28" s="29"/>
      <c r="AD28" s="29"/>
      <c r="AE28" s="29"/>
      <c r="AF28" s="29"/>
      <c r="AG28" s="29"/>
      <c r="AH28" s="29"/>
      <c r="AI28" s="26"/>
      <c r="AJ28" s="26"/>
      <c r="AK28" s="26"/>
      <c r="AL28" s="26"/>
      <c r="AM28" s="26"/>
      <c r="AN28" s="26"/>
      <c r="AW28" s="5"/>
    </row>
    <row r="29" spans="1:49" x14ac:dyDescent="0.35">
      <c r="A29" s="79">
        <v>1</v>
      </c>
      <c r="B29" s="79">
        <v>7</v>
      </c>
      <c r="C29" s="16" t="str">
        <f t="shared" si="9"/>
        <v>Mon</v>
      </c>
      <c r="D29" s="12">
        <v>44662</v>
      </c>
      <c r="E29">
        <f t="shared" si="23"/>
        <v>119</v>
      </c>
      <c r="F29" s="61">
        <f t="shared" si="14"/>
        <v>168</v>
      </c>
      <c r="G29" s="61">
        <f t="shared" si="10"/>
        <v>37</v>
      </c>
      <c r="H29" s="61">
        <f t="shared" si="15"/>
        <v>7</v>
      </c>
      <c r="I29" s="61">
        <f t="shared" si="16"/>
        <v>0</v>
      </c>
      <c r="J29" s="61">
        <f t="shared" si="17"/>
        <v>0</v>
      </c>
      <c r="K29" s="11">
        <f t="shared" si="18"/>
        <v>0.70833333333333337</v>
      </c>
      <c r="L29" s="11">
        <f t="shared" si="11"/>
        <v>0.17207503145855921</v>
      </c>
      <c r="M29" s="11">
        <f t="shared" si="19"/>
        <v>0.24107142857142858</v>
      </c>
      <c r="N29" s="11">
        <f t="shared" si="12"/>
        <v>0.18250807752880938</v>
      </c>
      <c r="O29" s="11">
        <f t="shared" si="20"/>
        <v>0</v>
      </c>
      <c r="P29" s="11">
        <f t="shared" si="13"/>
        <v>0</v>
      </c>
      <c r="Q29" s="11">
        <f t="shared" si="21"/>
        <v>0.35458310898736856</v>
      </c>
      <c r="R29" s="20">
        <f t="shared" si="22"/>
        <v>1</v>
      </c>
      <c r="S29" s="56">
        <v>213.571</v>
      </c>
      <c r="T29" s="56">
        <v>242.73499999999996</v>
      </c>
      <c r="U29" s="56">
        <v>163.995</v>
      </c>
      <c r="V29" s="20">
        <f t="shared" si="24"/>
        <v>228.58205224174623</v>
      </c>
      <c r="W29" s="20">
        <f>AVERAGE(V24:V28)</f>
        <v>236.06080613570461</v>
      </c>
      <c r="X29" s="36"/>
      <c r="Y29" s="29"/>
      <c r="Z29" s="26"/>
      <c r="AA29" s="26"/>
      <c r="AB29" s="36"/>
      <c r="AC29" s="29"/>
      <c r="AD29" s="29"/>
      <c r="AE29" s="29"/>
      <c r="AF29" s="29"/>
      <c r="AG29" s="29"/>
      <c r="AH29" s="29"/>
      <c r="AI29" s="26"/>
      <c r="AJ29" s="26"/>
      <c r="AK29" s="26"/>
      <c r="AL29" s="26"/>
      <c r="AM29" s="26"/>
      <c r="AN29" s="26"/>
      <c r="AW29" s="5"/>
    </row>
    <row r="30" spans="1:49" x14ac:dyDescent="0.35">
      <c r="A30" s="79">
        <v>1</v>
      </c>
      <c r="B30" s="79">
        <v>8</v>
      </c>
      <c r="C30" s="16" t="str">
        <f t="shared" si="9"/>
        <v>Tue</v>
      </c>
      <c r="D30" s="12">
        <v>44663</v>
      </c>
      <c r="E30">
        <f t="shared" si="23"/>
        <v>118</v>
      </c>
      <c r="F30" s="61">
        <f t="shared" si="14"/>
        <v>168</v>
      </c>
      <c r="G30" s="61">
        <f t="shared" si="10"/>
        <v>37</v>
      </c>
      <c r="H30" s="61">
        <f t="shared" si="15"/>
        <v>8</v>
      </c>
      <c r="I30" s="61">
        <f t="shared" si="16"/>
        <v>0</v>
      </c>
      <c r="J30" s="61">
        <f t="shared" si="17"/>
        <v>0</v>
      </c>
      <c r="K30" s="11">
        <f t="shared" si="18"/>
        <v>0.70238095238095233</v>
      </c>
      <c r="L30" s="11">
        <f t="shared" si="11"/>
        <v>0.17062902279084019</v>
      </c>
      <c r="M30" s="11">
        <f t="shared" si="19"/>
        <v>0.24404761904761904</v>
      </c>
      <c r="N30" s="11">
        <f t="shared" si="12"/>
        <v>0.18476126367114035</v>
      </c>
      <c r="O30" s="11">
        <f t="shared" si="20"/>
        <v>0</v>
      </c>
      <c r="P30" s="11">
        <f t="shared" si="13"/>
        <v>0</v>
      </c>
      <c r="Q30" s="11">
        <f t="shared" si="21"/>
        <v>0.35539028646198056</v>
      </c>
      <c r="R30" s="20">
        <f t="shared" si="22"/>
        <v>1</v>
      </c>
      <c r="S30" s="56">
        <v>216.30899999999997</v>
      </c>
      <c r="T30" s="56">
        <v>246.72499999999997</v>
      </c>
      <c r="U30" s="56">
        <v>168.55</v>
      </c>
      <c r="V30" s="20">
        <f t="shared" si="24"/>
        <v>232.12175237364312</v>
      </c>
      <c r="W30" s="20">
        <f>W29</f>
        <v>236.06080613570461</v>
      </c>
      <c r="X30" s="36"/>
      <c r="Y30" s="29"/>
      <c r="Z30" s="26"/>
      <c r="AA30" s="26"/>
      <c r="AB30" s="36"/>
      <c r="AC30" s="29"/>
      <c r="AD30" s="29"/>
      <c r="AE30" s="29"/>
      <c r="AF30" s="29"/>
      <c r="AG30" s="29"/>
      <c r="AH30" s="29"/>
      <c r="AI30" s="26"/>
      <c r="AJ30" s="26"/>
      <c r="AK30" s="26"/>
      <c r="AL30" s="26"/>
      <c r="AM30" s="26"/>
      <c r="AN30" s="26"/>
      <c r="AW30" s="5"/>
    </row>
    <row r="31" spans="1:49" x14ac:dyDescent="0.35">
      <c r="A31" s="79">
        <v>1</v>
      </c>
      <c r="B31" s="79">
        <v>9</v>
      </c>
      <c r="C31" s="16" t="str">
        <f t="shared" si="9"/>
        <v>Wed</v>
      </c>
      <c r="D31" s="12">
        <v>44664</v>
      </c>
      <c r="E31">
        <f t="shared" si="23"/>
        <v>117</v>
      </c>
      <c r="F31" s="61">
        <f t="shared" si="14"/>
        <v>168</v>
      </c>
      <c r="G31" s="61">
        <f t="shared" si="10"/>
        <v>37</v>
      </c>
      <c r="H31" s="61">
        <f t="shared" si="15"/>
        <v>9</v>
      </c>
      <c r="I31" s="61">
        <f t="shared" si="16"/>
        <v>0</v>
      </c>
      <c r="J31" s="61">
        <f t="shared" si="17"/>
        <v>0</v>
      </c>
      <c r="K31" s="11">
        <f t="shared" si="18"/>
        <v>0.6964285714285714</v>
      </c>
      <c r="L31" s="11">
        <f t="shared" si="11"/>
        <v>0.16918301412312123</v>
      </c>
      <c r="M31" s="11">
        <f t="shared" si="19"/>
        <v>0.24702380952380953</v>
      </c>
      <c r="N31" s="11">
        <f t="shared" si="12"/>
        <v>0.18701444981347135</v>
      </c>
      <c r="O31" s="11">
        <f t="shared" si="20"/>
        <v>0</v>
      </c>
      <c r="P31" s="11">
        <f t="shared" si="13"/>
        <v>0</v>
      </c>
      <c r="Q31" s="11">
        <f t="shared" si="21"/>
        <v>0.35619746393659257</v>
      </c>
      <c r="R31" s="20">
        <f t="shared" si="22"/>
        <v>1</v>
      </c>
      <c r="S31" s="56">
        <v>217.41300000000001</v>
      </c>
      <c r="T31" s="56">
        <v>248.04999999999998</v>
      </c>
      <c r="U31" s="56">
        <v>173.245</v>
      </c>
      <c r="V31" s="20">
        <f t="shared" si="24"/>
        <v>233.49835230883971</v>
      </c>
      <c r="W31" s="20">
        <f>W30</f>
        <v>236.06080613570461</v>
      </c>
      <c r="X31" s="36"/>
      <c r="Y31" s="29"/>
      <c r="Z31" s="26"/>
      <c r="AA31" s="26"/>
      <c r="AB31" s="36"/>
      <c r="AC31" s="29"/>
      <c r="AD31" s="29"/>
      <c r="AE31" s="29"/>
      <c r="AF31" s="29"/>
      <c r="AG31" s="29"/>
      <c r="AH31" s="29"/>
      <c r="AI31" s="26"/>
      <c r="AJ31" s="26"/>
      <c r="AK31" s="26"/>
      <c r="AL31" s="26"/>
      <c r="AM31" s="26"/>
      <c r="AN31" s="26"/>
      <c r="AW31" s="5"/>
    </row>
    <row r="32" spans="1:49" x14ac:dyDescent="0.35">
      <c r="A32" s="79">
        <v>1</v>
      </c>
      <c r="B32" s="79">
        <v>10</v>
      </c>
      <c r="C32" s="16" t="str">
        <f t="shared" si="9"/>
        <v>Thu</v>
      </c>
      <c r="D32" s="12">
        <v>44665</v>
      </c>
      <c r="E32">
        <f t="shared" si="23"/>
        <v>116</v>
      </c>
      <c r="F32" s="61">
        <f t="shared" si="14"/>
        <v>168</v>
      </c>
      <c r="G32" s="61">
        <f t="shared" si="10"/>
        <v>37</v>
      </c>
      <c r="H32" s="61">
        <f t="shared" si="15"/>
        <v>10</v>
      </c>
      <c r="I32" s="61">
        <f t="shared" si="16"/>
        <v>0</v>
      </c>
      <c r="J32" s="61">
        <f t="shared" si="17"/>
        <v>0</v>
      </c>
      <c r="K32" s="11">
        <f t="shared" si="18"/>
        <v>0.69047619047619047</v>
      </c>
      <c r="L32" s="11">
        <f t="shared" si="11"/>
        <v>0.16773700545540224</v>
      </c>
      <c r="M32" s="11">
        <f t="shared" si="19"/>
        <v>0.25</v>
      </c>
      <c r="N32" s="11">
        <f t="shared" si="12"/>
        <v>0.18926763595580232</v>
      </c>
      <c r="O32" s="11">
        <f t="shared" si="20"/>
        <v>0</v>
      </c>
      <c r="P32" s="11">
        <f t="shared" si="13"/>
        <v>0</v>
      </c>
      <c r="Q32" s="11">
        <f t="shared" si="21"/>
        <v>0.35700464141120458</v>
      </c>
      <c r="R32" s="20">
        <f t="shared" si="22"/>
        <v>1</v>
      </c>
      <c r="S32" s="56">
        <v>193.95399999999998</v>
      </c>
      <c r="T32" s="56">
        <v>228.07</v>
      </c>
      <c r="U32" s="56">
        <v>167.505</v>
      </c>
      <c r="V32" s="20">
        <f>((S32*L32)+(T32*N32)+(U32*P32))/(L32+N32+P32)</f>
        <v>212.04075271767903</v>
      </c>
      <c r="W32" s="20">
        <f>W31</f>
        <v>236.06080613570461</v>
      </c>
      <c r="X32" s="36"/>
      <c r="Y32" s="29"/>
      <c r="Z32" s="26"/>
      <c r="AA32" s="26"/>
      <c r="AB32" s="36"/>
      <c r="AC32" s="29"/>
      <c r="AD32" s="29"/>
      <c r="AE32" s="29"/>
      <c r="AF32" s="29"/>
      <c r="AG32" s="29"/>
      <c r="AH32" s="29"/>
      <c r="AI32" s="26"/>
      <c r="AJ32" s="26"/>
      <c r="AK32" s="26"/>
      <c r="AL32" s="26"/>
      <c r="AM32" s="26"/>
      <c r="AN32" s="26"/>
      <c r="AW32" s="5"/>
    </row>
    <row r="33" spans="1:49" x14ac:dyDescent="0.35">
      <c r="A33" s="79">
        <v>1</v>
      </c>
      <c r="B33" s="79">
        <v>11</v>
      </c>
      <c r="C33" s="16" t="str">
        <f t="shared" si="9"/>
        <v>Tue</v>
      </c>
      <c r="D33" s="12">
        <v>44670</v>
      </c>
      <c r="E33">
        <f t="shared" si="23"/>
        <v>115</v>
      </c>
      <c r="F33" s="61">
        <f t="shared" si="14"/>
        <v>168</v>
      </c>
      <c r="G33" s="61">
        <f t="shared" si="10"/>
        <v>37</v>
      </c>
      <c r="H33" s="61">
        <f t="shared" si="15"/>
        <v>11</v>
      </c>
      <c r="I33" s="61">
        <f t="shared" si="16"/>
        <v>0</v>
      </c>
      <c r="J33" s="61">
        <f t="shared" si="17"/>
        <v>0</v>
      </c>
      <c r="K33" s="11">
        <f t="shared" si="18"/>
        <v>0.68452380952380953</v>
      </c>
      <c r="L33" s="11">
        <f t="shared" si="11"/>
        <v>0.16629099678768328</v>
      </c>
      <c r="M33" s="11">
        <f t="shared" si="19"/>
        <v>0.25297619047619047</v>
      </c>
      <c r="N33" s="11">
        <f t="shared" si="12"/>
        <v>0.19152082209813329</v>
      </c>
      <c r="O33" s="11">
        <f t="shared" si="20"/>
        <v>0</v>
      </c>
      <c r="P33" s="11">
        <f t="shared" si="13"/>
        <v>0</v>
      </c>
      <c r="Q33" s="11">
        <f t="shared" si="21"/>
        <v>0.35781181888581659</v>
      </c>
      <c r="R33" s="20">
        <f t="shared" si="22"/>
        <v>0.99999999999999989</v>
      </c>
      <c r="S33" s="56">
        <v>197.73399999999998</v>
      </c>
      <c r="T33" s="56">
        <v>233.28749999999997</v>
      </c>
      <c r="U33" s="56">
        <v>169.065</v>
      </c>
      <c r="V33" s="20">
        <f t="shared" si="24"/>
        <v>216.76421417701943</v>
      </c>
      <c r="W33" s="20">
        <f>AVERAGE(V29:V32)</f>
        <v>226.560727410477</v>
      </c>
      <c r="X33" s="36"/>
      <c r="Y33" s="29"/>
      <c r="Z33" s="26"/>
      <c r="AA33" s="26"/>
      <c r="AB33" s="36"/>
      <c r="AC33" s="29"/>
      <c r="AD33" s="29"/>
      <c r="AE33" s="29"/>
      <c r="AF33" s="29"/>
      <c r="AG33" s="29"/>
      <c r="AH33" s="29"/>
      <c r="AI33" s="26"/>
      <c r="AJ33" s="26"/>
      <c r="AK33" s="26"/>
      <c r="AL33" s="26"/>
      <c r="AM33" s="26"/>
      <c r="AN33" s="26"/>
      <c r="AW33" s="5"/>
    </row>
    <row r="34" spans="1:49" x14ac:dyDescent="0.35">
      <c r="A34" s="79">
        <v>1</v>
      </c>
      <c r="B34" s="79">
        <v>12</v>
      </c>
      <c r="C34" s="16" t="str">
        <f t="shared" si="9"/>
        <v>Wed</v>
      </c>
      <c r="D34" s="12">
        <v>44671</v>
      </c>
      <c r="E34">
        <f t="shared" si="23"/>
        <v>114</v>
      </c>
      <c r="F34" s="61">
        <f t="shared" si="14"/>
        <v>168</v>
      </c>
      <c r="G34" s="61">
        <f t="shared" si="10"/>
        <v>37</v>
      </c>
      <c r="H34" s="61">
        <f t="shared" si="15"/>
        <v>12</v>
      </c>
      <c r="I34" s="61">
        <f t="shared" si="16"/>
        <v>0</v>
      </c>
      <c r="J34" s="61">
        <f t="shared" si="17"/>
        <v>0</v>
      </c>
      <c r="K34" s="11">
        <f t="shared" si="18"/>
        <v>0.6785714285714286</v>
      </c>
      <c r="L34" s="11">
        <f t="shared" si="11"/>
        <v>0.16484498811996429</v>
      </c>
      <c r="M34" s="11">
        <f t="shared" si="19"/>
        <v>0.25595238095238093</v>
      </c>
      <c r="N34" s="11">
        <f t="shared" si="12"/>
        <v>0.19377400824046426</v>
      </c>
      <c r="O34" s="11">
        <f t="shared" si="20"/>
        <v>0</v>
      </c>
      <c r="P34" s="11">
        <f t="shared" si="13"/>
        <v>0</v>
      </c>
      <c r="Q34" s="11">
        <f t="shared" si="21"/>
        <v>0.35861899636042854</v>
      </c>
      <c r="R34" s="20">
        <f t="shared" si="22"/>
        <v>1</v>
      </c>
      <c r="S34" s="56">
        <v>204.327</v>
      </c>
      <c r="T34" s="56">
        <v>233.95</v>
      </c>
      <c r="U34" s="56">
        <v>176.89499999999998</v>
      </c>
      <c r="V34" s="20">
        <f t="shared" si="24"/>
        <v>220.33331172459739</v>
      </c>
      <c r="W34" s="20">
        <f>W33</f>
        <v>226.560727410477</v>
      </c>
      <c r="X34" s="36"/>
      <c r="Y34" s="29"/>
      <c r="Z34" s="26"/>
      <c r="AA34" s="26"/>
      <c r="AB34" s="36"/>
      <c r="AC34" s="29"/>
      <c r="AD34" s="29"/>
      <c r="AE34" s="29"/>
      <c r="AF34" s="29"/>
      <c r="AG34" s="29"/>
      <c r="AH34" s="29"/>
      <c r="AI34" s="26"/>
      <c r="AJ34" s="26"/>
      <c r="AK34" s="26"/>
      <c r="AL34" s="26"/>
      <c r="AM34" s="26"/>
      <c r="AN34" s="26"/>
      <c r="AW34" s="5"/>
    </row>
    <row r="35" spans="1:49" x14ac:dyDescent="0.35">
      <c r="A35" s="79">
        <v>1</v>
      </c>
      <c r="B35" s="79">
        <v>13</v>
      </c>
      <c r="C35" s="16" t="str">
        <f t="shared" si="9"/>
        <v>Thu</v>
      </c>
      <c r="D35" s="12">
        <v>44672</v>
      </c>
      <c r="E35">
        <f t="shared" si="23"/>
        <v>113</v>
      </c>
      <c r="F35" s="61">
        <f t="shared" si="14"/>
        <v>168</v>
      </c>
      <c r="G35" s="61">
        <f t="shared" si="10"/>
        <v>37</v>
      </c>
      <c r="H35" s="61">
        <f t="shared" si="15"/>
        <v>13</v>
      </c>
      <c r="I35" s="61">
        <f t="shared" si="16"/>
        <v>0</v>
      </c>
      <c r="J35" s="61">
        <f t="shared" si="17"/>
        <v>0</v>
      </c>
      <c r="K35" s="11">
        <f t="shared" si="18"/>
        <v>0.67261904761904767</v>
      </c>
      <c r="L35" s="11">
        <f t="shared" si="11"/>
        <v>0.1633989794522453</v>
      </c>
      <c r="M35" s="11">
        <f t="shared" si="19"/>
        <v>0.25892857142857145</v>
      </c>
      <c r="N35" s="11">
        <f t="shared" si="12"/>
        <v>0.19602719438279528</v>
      </c>
      <c r="O35" s="11">
        <f t="shared" si="20"/>
        <v>0</v>
      </c>
      <c r="P35" s="11">
        <f t="shared" si="13"/>
        <v>0</v>
      </c>
      <c r="Q35" s="11">
        <f t="shared" si="21"/>
        <v>0.35942617383504061</v>
      </c>
      <c r="R35" s="20">
        <f t="shared" si="22"/>
        <v>1</v>
      </c>
      <c r="S35" s="56">
        <v>208.52599999999995</v>
      </c>
      <c r="T35" s="56">
        <v>244.125</v>
      </c>
      <c r="U35" s="56">
        <v>182.23750000000001</v>
      </c>
      <c r="V35" s="20">
        <f t="shared" si="24"/>
        <v>227.94131418921054</v>
      </c>
      <c r="W35" s="20">
        <f>W33</f>
        <v>226.560727410477</v>
      </c>
      <c r="X35" s="36"/>
      <c r="Y35" s="29"/>
      <c r="Z35" s="26"/>
      <c r="AA35" s="26"/>
      <c r="AB35" s="36"/>
      <c r="AC35" s="29"/>
      <c r="AD35" s="29"/>
      <c r="AE35" s="29"/>
      <c r="AF35" s="29"/>
      <c r="AG35" s="29"/>
      <c r="AH35" s="29"/>
      <c r="AI35" s="26"/>
      <c r="AJ35" s="26"/>
      <c r="AK35" s="26"/>
      <c r="AL35" s="26"/>
      <c r="AM35" s="26"/>
      <c r="AN35" s="26"/>
      <c r="AW35" s="5"/>
    </row>
    <row r="36" spans="1:49" x14ac:dyDescent="0.35">
      <c r="A36" s="79">
        <v>1</v>
      </c>
      <c r="B36" s="79">
        <v>14</v>
      </c>
      <c r="C36" s="16" t="str">
        <f t="shared" si="9"/>
        <v>Fri</v>
      </c>
      <c r="D36" s="12">
        <v>44673</v>
      </c>
      <c r="E36">
        <f t="shared" si="23"/>
        <v>112</v>
      </c>
      <c r="F36" s="61">
        <f t="shared" si="14"/>
        <v>168</v>
      </c>
      <c r="G36" s="61">
        <f t="shared" si="10"/>
        <v>37</v>
      </c>
      <c r="H36" s="61">
        <f t="shared" si="15"/>
        <v>14</v>
      </c>
      <c r="I36" s="61">
        <f t="shared" si="16"/>
        <v>0</v>
      </c>
      <c r="J36" s="61">
        <f t="shared" si="17"/>
        <v>0</v>
      </c>
      <c r="K36" s="11">
        <f t="shared" si="18"/>
        <v>0.66666666666666663</v>
      </c>
      <c r="L36" s="11">
        <f t="shared" si="11"/>
        <v>0.16195297078452631</v>
      </c>
      <c r="M36" s="11">
        <f t="shared" si="19"/>
        <v>0.26190476190476192</v>
      </c>
      <c r="N36" s="11">
        <f t="shared" si="12"/>
        <v>0.19828038052512625</v>
      </c>
      <c r="O36" s="11">
        <f t="shared" si="20"/>
        <v>0</v>
      </c>
      <c r="P36" s="11">
        <f t="shared" si="13"/>
        <v>0</v>
      </c>
      <c r="Q36" s="11">
        <f t="shared" si="21"/>
        <v>0.36023335130965256</v>
      </c>
      <c r="R36" s="20">
        <f t="shared" si="22"/>
        <v>1</v>
      </c>
      <c r="S36" s="56">
        <v>196.23199999999997</v>
      </c>
      <c r="T36" s="56">
        <v>237.29249999999999</v>
      </c>
      <c r="U36" s="56">
        <v>179.75</v>
      </c>
      <c r="V36" s="20">
        <f t="shared" si="24"/>
        <v>218.83260467736537</v>
      </c>
      <c r="W36" s="20">
        <f>W33</f>
        <v>226.560727410477</v>
      </c>
      <c r="X36" s="36"/>
      <c r="Y36" s="29"/>
      <c r="Z36" s="26"/>
      <c r="AA36" s="26"/>
      <c r="AB36" s="36"/>
      <c r="AC36" s="29"/>
      <c r="AD36" s="29"/>
      <c r="AE36" s="29"/>
      <c r="AF36" s="29"/>
      <c r="AG36" s="29"/>
      <c r="AH36" s="29"/>
      <c r="AI36" s="26"/>
      <c r="AJ36" s="26"/>
      <c r="AK36" s="26"/>
      <c r="AL36" s="26"/>
      <c r="AM36" s="26"/>
      <c r="AN36" s="26"/>
      <c r="AW36" s="5"/>
    </row>
    <row r="37" spans="1:49" x14ac:dyDescent="0.35">
      <c r="A37" s="79">
        <v>1</v>
      </c>
      <c r="B37" s="79">
        <v>15</v>
      </c>
      <c r="C37" s="16" t="str">
        <f t="shared" si="9"/>
        <v>Mon</v>
      </c>
      <c r="D37" s="12">
        <v>44676</v>
      </c>
      <c r="E37">
        <f t="shared" si="23"/>
        <v>111</v>
      </c>
      <c r="F37" s="61">
        <f t="shared" si="14"/>
        <v>168</v>
      </c>
      <c r="G37" s="61">
        <f t="shared" si="10"/>
        <v>37</v>
      </c>
      <c r="H37" s="61">
        <f t="shared" si="15"/>
        <v>15</v>
      </c>
      <c r="I37" s="61">
        <f t="shared" si="16"/>
        <v>0</v>
      </c>
      <c r="J37" s="61">
        <f t="shared" si="17"/>
        <v>0</v>
      </c>
      <c r="K37" s="11">
        <f t="shared" si="18"/>
        <v>0.6607142857142857</v>
      </c>
      <c r="L37" s="11">
        <f t="shared" si="11"/>
        <v>0.16050696211680732</v>
      </c>
      <c r="M37" s="11">
        <f t="shared" si="19"/>
        <v>0.26488095238095238</v>
      </c>
      <c r="N37" s="11">
        <f t="shared" si="12"/>
        <v>0.20053356666745722</v>
      </c>
      <c r="O37" s="11">
        <f t="shared" si="20"/>
        <v>0</v>
      </c>
      <c r="P37" s="11">
        <f t="shared" si="13"/>
        <v>0</v>
      </c>
      <c r="Q37" s="11">
        <f t="shared" si="21"/>
        <v>0.36104052878426451</v>
      </c>
      <c r="R37" s="20">
        <f t="shared" si="22"/>
        <v>1</v>
      </c>
      <c r="S37" s="56">
        <v>192.30735999999996</v>
      </c>
      <c r="T37" s="56">
        <v>232.54665</v>
      </c>
      <c r="U37" s="56">
        <v>176.155</v>
      </c>
      <c r="V37" s="20">
        <f t="shared" si="24"/>
        <v>214.65756087921451</v>
      </c>
      <c r="W37" s="20">
        <f>AVERAGE(V33:V36)</f>
        <v>220.96786119204816</v>
      </c>
      <c r="X37" s="36"/>
      <c r="Y37" s="29"/>
      <c r="Z37" s="26"/>
      <c r="AA37" s="26"/>
      <c r="AB37" s="36"/>
      <c r="AC37" s="29"/>
      <c r="AD37" s="29"/>
      <c r="AE37" s="29"/>
      <c r="AF37" s="29"/>
      <c r="AG37" s="29"/>
      <c r="AH37" s="29"/>
      <c r="AI37" s="26"/>
      <c r="AJ37" s="26"/>
      <c r="AK37" s="26"/>
      <c r="AL37" s="26"/>
      <c r="AM37" s="26"/>
      <c r="AN37" s="26"/>
      <c r="AW37" s="5"/>
    </row>
    <row r="38" spans="1:49" x14ac:dyDescent="0.35">
      <c r="A38" s="79">
        <v>1</v>
      </c>
      <c r="B38" s="79">
        <v>16</v>
      </c>
      <c r="C38" s="16" t="str">
        <f t="shared" si="9"/>
        <v>Tue</v>
      </c>
      <c r="D38" s="12">
        <v>44677</v>
      </c>
      <c r="E38">
        <f t="shared" si="23"/>
        <v>110</v>
      </c>
      <c r="F38" s="61">
        <f t="shared" si="14"/>
        <v>168</v>
      </c>
      <c r="G38" s="61">
        <f t="shared" si="10"/>
        <v>37</v>
      </c>
      <c r="H38" s="61">
        <f t="shared" si="15"/>
        <v>16</v>
      </c>
      <c r="I38" s="61">
        <f t="shared" si="16"/>
        <v>0</v>
      </c>
      <c r="J38" s="61">
        <f t="shared" si="17"/>
        <v>0</v>
      </c>
      <c r="K38" s="11">
        <f t="shared" si="18"/>
        <v>0.65476190476190477</v>
      </c>
      <c r="L38" s="11">
        <f t="shared" si="11"/>
        <v>0.15906095344908833</v>
      </c>
      <c r="M38" s="11">
        <f t="shared" si="19"/>
        <v>0.26785714285714285</v>
      </c>
      <c r="N38" s="11">
        <f t="shared" si="12"/>
        <v>0.2027867528097882</v>
      </c>
      <c r="O38" s="11">
        <f t="shared" si="20"/>
        <v>0</v>
      </c>
      <c r="P38" s="11">
        <f t="shared" si="13"/>
        <v>0</v>
      </c>
      <c r="Q38" s="11">
        <f t="shared" si="21"/>
        <v>0.36184770625887652</v>
      </c>
      <c r="R38" s="20">
        <f t="shared" si="22"/>
        <v>1</v>
      </c>
      <c r="S38" s="56">
        <v>188.46121279999997</v>
      </c>
      <c r="T38" s="56">
        <v>227.89571699999999</v>
      </c>
      <c r="U38" s="56">
        <v>172.6319</v>
      </c>
      <c r="V38" s="20">
        <f t="shared" si="24"/>
        <v>210.56110432082895</v>
      </c>
      <c r="W38" s="20">
        <f>W37</f>
        <v>220.96786119204816</v>
      </c>
      <c r="X38" s="36"/>
      <c r="Y38" s="29"/>
      <c r="Z38" s="26"/>
      <c r="AA38" s="26"/>
      <c r="AB38" s="36"/>
      <c r="AC38" s="29"/>
      <c r="AD38" s="29"/>
      <c r="AE38" s="29"/>
      <c r="AF38" s="29"/>
      <c r="AG38" s="29"/>
      <c r="AH38" s="29"/>
      <c r="AI38" s="26"/>
      <c r="AJ38" s="26"/>
      <c r="AK38" s="26"/>
      <c r="AL38" s="26"/>
      <c r="AM38" s="26"/>
      <c r="AN38" s="26"/>
      <c r="AW38" s="5"/>
    </row>
    <row r="39" spans="1:49" x14ac:dyDescent="0.35">
      <c r="A39" s="79">
        <v>1</v>
      </c>
      <c r="B39" s="79">
        <v>17</v>
      </c>
      <c r="C39" s="16" t="str">
        <f t="shared" si="9"/>
        <v>Wed</v>
      </c>
      <c r="D39" s="12">
        <v>44678</v>
      </c>
      <c r="E39">
        <f t="shared" si="23"/>
        <v>109</v>
      </c>
      <c r="F39" s="61">
        <f t="shared" si="14"/>
        <v>168</v>
      </c>
      <c r="G39" s="61">
        <f t="shared" si="10"/>
        <v>37</v>
      </c>
      <c r="H39" s="61">
        <f t="shared" si="15"/>
        <v>17</v>
      </c>
      <c r="I39" s="61">
        <f t="shared" si="16"/>
        <v>0</v>
      </c>
      <c r="J39" s="61">
        <f t="shared" si="17"/>
        <v>0</v>
      </c>
      <c r="K39" s="11">
        <f t="shared" si="18"/>
        <v>0.64880952380952384</v>
      </c>
      <c r="L39" s="11">
        <f t="shared" si="11"/>
        <v>0.15761494478136936</v>
      </c>
      <c r="M39" s="11">
        <f t="shared" si="19"/>
        <v>0.27083333333333331</v>
      </c>
      <c r="N39" s="11">
        <f t="shared" si="12"/>
        <v>0.20503993895211917</v>
      </c>
      <c r="O39" s="11">
        <f t="shared" si="20"/>
        <v>0</v>
      </c>
      <c r="P39" s="11">
        <f t="shared" si="13"/>
        <v>0</v>
      </c>
      <c r="Q39" s="11">
        <f t="shared" si="21"/>
        <v>0.36265488373348853</v>
      </c>
      <c r="R39" s="20">
        <f t="shared" si="22"/>
        <v>1</v>
      </c>
      <c r="S39" s="56">
        <v>184.69198854399997</v>
      </c>
      <c r="T39" s="56">
        <v>223.33780265999999</v>
      </c>
      <c r="U39" s="56">
        <v>169.17926199999999</v>
      </c>
      <c r="V39" s="20">
        <f t="shared" si="24"/>
        <v>206.54178492761304</v>
      </c>
      <c r="W39" s="20">
        <f>W38</f>
        <v>220.96786119204816</v>
      </c>
      <c r="X39" s="36"/>
      <c r="Y39" s="26"/>
      <c r="Z39" s="26"/>
      <c r="AA39" s="26"/>
      <c r="AB39" s="36"/>
      <c r="AC39" s="29"/>
      <c r="AD39" s="29"/>
      <c r="AE39" s="29"/>
      <c r="AF39" s="29"/>
      <c r="AG39" s="29"/>
      <c r="AH39" s="29"/>
      <c r="AI39" s="26"/>
      <c r="AJ39" s="26"/>
      <c r="AK39" s="26"/>
      <c r="AL39" s="26"/>
      <c r="AM39" s="26"/>
      <c r="AN39" s="26"/>
      <c r="AW39" s="5"/>
    </row>
    <row r="40" spans="1:49" x14ac:dyDescent="0.35">
      <c r="A40" s="79">
        <v>1</v>
      </c>
      <c r="B40" s="79">
        <v>18</v>
      </c>
      <c r="C40" s="16" t="str">
        <f t="shared" si="9"/>
        <v>Thu</v>
      </c>
      <c r="D40" s="12">
        <v>44679</v>
      </c>
      <c r="E40">
        <f t="shared" si="23"/>
        <v>108</v>
      </c>
      <c r="F40" s="61">
        <f t="shared" si="14"/>
        <v>168</v>
      </c>
      <c r="G40" s="61">
        <f t="shared" si="10"/>
        <v>37</v>
      </c>
      <c r="H40" s="61">
        <f t="shared" si="15"/>
        <v>18</v>
      </c>
      <c r="I40" s="61">
        <f t="shared" si="16"/>
        <v>0</v>
      </c>
      <c r="J40" s="61">
        <f t="shared" si="17"/>
        <v>0</v>
      </c>
      <c r="K40" s="11">
        <f t="shared" si="18"/>
        <v>0.6428571428571429</v>
      </c>
      <c r="L40" s="11">
        <f t="shared" si="11"/>
        <v>0.15616893611365038</v>
      </c>
      <c r="M40" s="11">
        <f t="shared" si="19"/>
        <v>0.27380952380952384</v>
      </c>
      <c r="N40" s="11">
        <f t="shared" si="12"/>
        <v>0.20729312509445016</v>
      </c>
      <c r="O40" s="11">
        <f t="shared" si="20"/>
        <v>0</v>
      </c>
      <c r="P40" s="11">
        <f t="shared" si="13"/>
        <v>0</v>
      </c>
      <c r="Q40" s="11">
        <f t="shared" si="21"/>
        <v>0.36346206120810054</v>
      </c>
      <c r="R40" s="20">
        <f t="shared" si="22"/>
        <v>1</v>
      </c>
      <c r="S40" s="56">
        <v>180.99814877311996</v>
      </c>
      <c r="T40" s="56">
        <v>218.87104660680001</v>
      </c>
      <c r="U40" s="56">
        <v>165.79567675999999</v>
      </c>
      <c r="V40" s="20">
        <f t="shared" si="24"/>
        <v>202.59817855953386</v>
      </c>
      <c r="W40" s="20">
        <f>W39</f>
        <v>220.96786119204816</v>
      </c>
      <c r="X40" s="36"/>
      <c r="Y40" s="26"/>
      <c r="Z40" s="26"/>
      <c r="AA40" s="26"/>
      <c r="AB40" s="36"/>
      <c r="AC40" s="29"/>
      <c r="AD40" s="29"/>
      <c r="AE40" s="29"/>
      <c r="AF40" s="29"/>
      <c r="AG40" s="29"/>
      <c r="AH40" s="29"/>
      <c r="AI40" s="26"/>
      <c r="AJ40" s="26"/>
      <c r="AK40" s="26"/>
      <c r="AL40" s="26"/>
      <c r="AM40" s="26"/>
      <c r="AN40" s="26"/>
      <c r="AW40" s="5"/>
    </row>
    <row r="41" spans="1:49" x14ac:dyDescent="0.35">
      <c r="A41" s="79">
        <v>1</v>
      </c>
      <c r="B41" s="79">
        <v>19</v>
      </c>
      <c r="C41" s="16" t="str">
        <f t="shared" si="9"/>
        <v>Fri</v>
      </c>
      <c r="D41" s="12">
        <v>44680</v>
      </c>
      <c r="E41">
        <f t="shared" si="23"/>
        <v>107</v>
      </c>
      <c r="F41" s="61">
        <f t="shared" si="14"/>
        <v>168</v>
      </c>
      <c r="G41" s="61">
        <f t="shared" si="10"/>
        <v>37</v>
      </c>
      <c r="H41" s="61">
        <f t="shared" si="15"/>
        <v>19</v>
      </c>
      <c r="I41" s="61">
        <f t="shared" si="16"/>
        <v>0</v>
      </c>
      <c r="J41" s="61">
        <f t="shared" si="17"/>
        <v>0</v>
      </c>
      <c r="K41" s="11">
        <f t="shared" si="18"/>
        <v>0.63690476190476186</v>
      </c>
      <c r="L41" s="11">
        <f t="shared" si="11"/>
        <v>0.15472292744593139</v>
      </c>
      <c r="M41" s="11">
        <f t="shared" si="19"/>
        <v>0.2767857142857143</v>
      </c>
      <c r="N41" s="11">
        <f t="shared" si="12"/>
        <v>0.20954631123678114</v>
      </c>
      <c r="O41" s="11">
        <f t="shared" si="20"/>
        <v>0</v>
      </c>
      <c r="P41" s="11">
        <f t="shared" si="13"/>
        <v>0</v>
      </c>
      <c r="Q41" s="11">
        <f t="shared" si="21"/>
        <v>0.36426923868271255</v>
      </c>
      <c r="R41" s="20">
        <f t="shared" si="22"/>
        <v>1</v>
      </c>
      <c r="S41" s="56">
        <v>177.37818579765758</v>
      </c>
      <c r="T41" s="56">
        <v>214.493625674664</v>
      </c>
      <c r="U41" s="56">
        <v>162.4797632248</v>
      </c>
      <c r="V41" s="20">
        <f t="shared" si="24"/>
        <v>198.72888657130025</v>
      </c>
      <c r="W41" s="20">
        <f>W40</f>
        <v>220.96786119204816</v>
      </c>
      <c r="X41" s="36"/>
      <c r="Y41" s="26"/>
      <c r="Z41" s="26"/>
      <c r="AA41" s="26"/>
      <c r="AB41" s="36"/>
      <c r="AC41" s="29"/>
      <c r="AD41" s="29"/>
      <c r="AE41" s="29"/>
      <c r="AF41" s="29"/>
      <c r="AG41" s="29"/>
      <c r="AH41" s="29"/>
      <c r="AI41" s="26"/>
      <c r="AJ41" s="26"/>
      <c r="AK41" s="26"/>
      <c r="AL41" s="26"/>
      <c r="AM41" s="26"/>
      <c r="AN41" s="26"/>
      <c r="AW41" s="5"/>
    </row>
    <row r="42" spans="1:49" x14ac:dyDescent="0.35">
      <c r="A42" s="79">
        <v>1</v>
      </c>
      <c r="B42" s="79">
        <v>20</v>
      </c>
      <c r="C42" s="16" t="str">
        <f t="shared" si="9"/>
        <v>Tue</v>
      </c>
      <c r="D42" s="12">
        <v>44684</v>
      </c>
      <c r="E42">
        <f t="shared" si="23"/>
        <v>106</v>
      </c>
      <c r="F42" s="61">
        <f t="shared" si="14"/>
        <v>168</v>
      </c>
      <c r="G42" s="61">
        <f t="shared" si="10"/>
        <v>37</v>
      </c>
      <c r="H42" s="61">
        <f t="shared" si="15"/>
        <v>20</v>
      </c>
      <c r="I42" s="61">
        <f t="shared" si="16"/>
        <v>0</v>
      </c>
      <c r="J42" s="61">
        <f t="shared" si="17"/>
        <v>0</v>
      </c>
      <c r="K42" s="11">
        <f t="shared" si="18"/>
        <v>0.63095238095238093</v>
      </c>
      <c r="L42" s="11">
        <f t="shared" si="11"/>
        <v>0.1532769187782124</v>
      </c>
      <c r="M42" s="11">
        <f t="shared" si="19"/>
        <v>0.27976190476190477</v>
      </c>
      <c r="N42" s="11">
        <f t="shared" si="12"/>
        <v>0.21179949737911211</v>
      </c>
      <c r="O42" s="11">
        <f t="shared" si="20"/>
        <v>0</v>
      </c>
      <c r="P42" s="11">
        <f t="shared" si="13"/>
        <v>0</v>
      </c>
      <c r="Q42" s="11">
        <f t="shared" si="21"/>
        <v>0.3650764161573245</v>
      </c>
      <c r="R42" s="20">
        <f t="shared" si="22"/>
        <v>1</v>
      </c>
      <c r="S42" s="56">
        <v>173.83062208170443</v>
      </c>
      <c r="T42" s="56">
        <v>210.20375316117071</v>
      </c>
      <c r="U42" s="56">
        <v>159.23016796030399</v>
      </c>
      <c r="V42" s="20">
        <f t="shared" si="24"/>
        <v>194.93253537926367</v>
      </c>
      <c r="W42" s="20">
        <f>AVERAGE(V37:V41)</f>
        <v>206.61750305169812</v>
      </c>
      <c r="X42" s="36"/>
      <c r="Y42" s="26"/>
      <c r="Z42" s="26"/>
      <c r="AA42" s="26"/>
      <c r="AB42" s="36"/>
      <c r="AC42" s="29"/>
      <c r="AD42" s="29"/>
      <c r="AE42" s="29"/>
      <c r="AF42" s="29"/>
      <c r="AG42" s="29"/>
      <c r="AH42" s="29"/>
      <c r="AI42" s="26"/>
      <c r="AJ42" s="26"/>
      <c r="AK42" s="26"/>
      <c r="AL42" s="26"/>
      <c r="AM42" s="26"/>
      <c r="AN42" s="26"/>
      <c r="AW42" s="5"/>
    </row>
    <row r="43" spans="1:49" x14ac:dyDescent="0.35">
      <c r="A43" s="79">
        <v>1</v>
      </c>
      <c r="B43" s="79">
        <v>21</v>
      </c>
      <c r="C43" s="16" t="str">
        <f t="shared" si="9"/>
        <v>Wed</v>
      </c>
      <c r="D43" s="12">
        <v>44685</v>
      </c>
      <c r="E43">
        <f t="shared" si="23"/>
        <v>105</v>
      </c>
      <c r="F43" s="61">
        <f t="shared" si="14"/>
        <v>168</v>
      </c>
      <c r="G43" s="61">
        <f t="shared" si="10"/>
        <v>37</v>
      </c>
      <c r="H43" s="61">
        <f t="shared" si="15"/>
        <v>21</v>
      </c>
      <c r="I43" s="61">
        <f t="shared" si="16"/>
        <v>0</v>
      </c>
      <c r="J43" s="61">
        <f t="shared" si="17"/>
        <v>0</v>
      </c>
      <c r="K43" s="11">
        <f t="shared" si="18"/>
        <v>0.625</v>
      </c>
      <c r="L43" s="11">
        <f t="shared" si="11"/>
        <v>0.15183091011049341</v>
      </c>
      <c r="M43" s="11">
        <f t="shared" si="19"/>
        <v>0.28273809523809523</v>
      </c>
      <c r="N43" s="11">
        <f t="shared" si="12"/>
        <v>0.2140526835214431</v>
      </c>
      <c r="O43" s="11">
        <f t="shared" si="20"/>
        <v>0</v>
      </c>
      <c r="P43" s="11">
        <f t="shared" si="13"/>
        <v>0</v>
      </c>
      <c r="Q43" s="11">
        <f t="shared" si="21"/>
        <v>0.36588359363193651</v>
      </c>
      <c r="R43" s="20">
        <f t="shared" si="22"/>
        <v>1</v>
      </c>
      <c r="S43" s="56">
        <v>170.35400964007033</v>
      </c>
      <c r="T43" s="56">
        <v>205.99967809794728</v>
      </c>
      <c r="U43" s="56">
        <v>156.04556460109791</v>
      </c>
      <c r="V43" s="20">
        <f t="shared" si="24"/>
        <v>191.20777603496293</v>
      </c>
      <c r="W43" s="20">
        <f>W42</f>
        <v>206.61750305169812</v>
      </c>
      <c r="X43" s="36"/>
      <c r="Y43" s="26"/>
      <c r="Z43" s="26"/>
      <c r="AA43" s="26"/>
      <c r="AB43" s="36"/>
      <c r="AC43" s="29"/>
      <c r="AD43" s="29"/>
      <c r="AE43" s="29"/>
      <c r="AF43" s="29"/>
      <c r="AG43" s="29"/>
      <c r="AH43" s="29"/>
      <c r="AI43" s="26"/>
      <c r="AJ43" s="26"/>
      <c r="AK43" s="26"/>
      <c r="AL43" s="26"/>
      <c r="AM43" s="26"/>
      <c r="AN43" s="26"/>
      <c r="AW43" s="5"/>
    </row>
    <row r="44" spans="1:49" x14ac:dyDescent="0.35">
      <c r="A44" s="79">
        <v>1</v>
      </c>
      <c r="B44" s="79">
        <v>22</v>
      </c>
      <c r="C44" s="16" t="str">
        <f t="shared" si="9"/>
        <v>Thu</v>
      </c>
      <c r="D44" s="12">
        <v>44686</v>
      </c>
      <c r="E44">
        <f t="shared" si="23"/>
        <v>104</v>
      </c>
      <c r="F44" s="61">
        <f t="shared" si="14"/>
        <v>168</v>
      </c>
      <c r="G44" s="61">
        <f t="shared" si="10"/>
        <v>37</v>
      </c>
      <c r="H44" s="61">
        <f t="shared" si="15"/>
        <v>22</v>
      </c>
      <c r="I44" s="61">
        <f t="shared" si="16"/>
        <v>0</v>
      </c>
      <c r="J44" s="61">
        <f t="shared" si="17"/>
        <v>0</v>
      </c>
      <c r="K44" s="11">
        <f t="shared" si="18"/>
        <v>0.61904761904761907</v>
      </c>
      <c r="L44" s="11">
        <f t="shared" si="11"/>
        <v>0.15038490144277444</v>
      </c>
      <c r="M44" s="11">
        <f t="shared" si="19"/>
        <v>0.2857142857142857</v>
      </c>
      <c r="N44" s="11">
        <f t="shared" si="12"/>
        <v>0.21630586966377408</v>
      </c>
      <c r="O44" s="11">
        <f t="shared" si="20"/>
        <v>0</v>
      </c>
      <c r="P44" s="11">
        <f t="shared" si="13"/>
        <v>0</v>
      </c>
      <c r="Q44" s="11">
        <f t="shared" si="21"/>
        <v>0.36669077110654852</v>
      </c>
      <c r="R44" s="20">
        <f t="shared" si="22"/>
        <v>1</v>
      </c>
      <c r="S44" s="56">
        <v>166.94692944726893</v>
      </c>
      <c r="T44" s="56">
        <v>201.87968453598833</v>
      </c>
      <c r="U44" s="56">
        <v>152.92465330907595</v>
      </c>
      <c r="V44" s="20">
        <f t="shared" si="24"/>
        <v>187.55328380523423</v>
      </c>
      <c r="W44" s="20">
        <f>W43</f>
        <v>206.61750305169812</v>
      </c>
      <c r="X44" s="36"/>
      <c r="Y44" s="26"/>
      <c r="Z44" s="26"/>
      <c r="AA44" s="26"/>
      <c r="AB44" s="36"/>
      <c r="AC44" s="29"/>
      <c r="AD44" s="29"/>
      <c r="AE44" s="29"/>
      <c r="AF44" s="29"/>
      <c r="AG44" s="29"/>
      <c r="AH44" s="29"/>
      <c r="AI44" s="26"/>
      <c r="AJ44" s="26"/>
      <c r="AK44" s="26"/>
      <c r="AL44" s="26"/>
      <c r="AM44" s="26"/>
      <c r="AN44" s="26"/>
      <c r="AW44" s="5"/>
    </row>
    <row r="45" spans="1:49" x14ac:dyDescent="0.35">
      <c r="A45" s="79">
        <v>1</v>
      </c>
      <c r="B45" s="79">
        <v>23</v>
      </c>
      <c r="C45" s="16" t="str">
        <f t="shared" si="9"/>
        <v>Fri</v>
      </c>
      <c r="D45" s="12">
        <v>44687</v>
      </c>
      <c r="E45">
        <f t="shared" si="23"/>
        <v>103</v>
      </c>
      <c r="F45" s="61">
        <f t="shared" si="14"/>
        <v>168</v>
      </c>
      <c r="G45" s="61">
        <f t="shared" si="10"/>
        <v>37</v>
      </c>
      <c r="H45" s="61">
        <f t="shared" si="15"/>
        <v>23</v>
      </c>
      <c r="I45" s="61">
        <f t="shared" si="16"/>
        <v>0</v>
      </c>
      <c r="J45" s="61">
        <f t="shared" si="17"/>
        <v>0</v>
      </c>
      <c r="K45" s="11">
        <f t="shared" si="18"/>
        <v>0.61309523809523814</v>
      </c>
      <c r="L45" s="11">
        <f t="shared" si="11"/>
        <v>0.14893889277505545</v>
      </c>
      <c r="M45" s="11">
        <f t="shared" si="19"/>
        <v>0.28869047619047616</v>
      </c>
      <c r="N45" s="11">
        <f t="shared" si="12"/>
        <v>0.21855905580610505</v>
      </c>
      <c r="O45" s="11">
        <f t="shared" si="20"/>
        <v>0</v>
      </c>
      <c r="P45" s="11">
        <f t="shared" si="13"/>
        <v>0</v>
      </c>
      <c r="Q45" s="11">
        <f t="shared" si="21"/>
        <v>0.36749794858116047</v>
      </c>
      <c r="R45" s="20">
        <f t="shared" si="22"/>
        <v>1</v>
      </c>
      <c r="S45" s="56">
        <v>163.60799085832355</v>
      </c>
      <c r="T45" s="56">
        <v>197.84209084526856</v>
      </c>
      <c r="U45" s="56">
        <v>149.86616024289444</v>
      </c>
      <c r="V45" s="20">
        <f t="shared" si="24"/>
        <v>183.96775775880758</v>
      </c>
      <c r="W45" s="20">
        <f>W44</f>
        <v>206.61750305169812</v>
      </c>
      <c r="X45" s="36"/>
      <c r="Y45" s="26"/>
      <c r="Z45" s="26"/>
      <c r="AA45" s="26"/>
      <c r="AB45" s="36"/>
      <c r="AC45" s="29"/>
      <c r="AD45" s="29"/>
      <c r="AE45" s="29"/>
      <c r="AF45" s="29"/>
      <c r="AG45" s="29"/>
      <c r="AH45" s="29"/>
      <c r="AI45" s="26"/>
      <c r="AJ45" s="26"/>
      <c r="AK45" s="26"/>
      <c r="AL45" s="26"/>
      <c r="AM45" s="26"/>
      <c r="AN45" s="26"/>
      <c r="AW45" s="5"/>
    </row>
    <row r="46" spans="1:49" x14ac:dyDescent="0.35">
      <c r="A46" s="79">
        <v>1</v>
      </c>
      <c r="B46" s="79">
        <v>24</v>
      </c>
      <c r="C46" s="16" t="str">
        <f t="shared" si="9"/>
        <v>Mon</v>
      </c>
      <c r="D46" s="12">
        <v>44690</v>
      </c>
      <c r="E46">
        <f t="shared" si="23"/>
        <v>102</v>
      </c>
      <c r="F46" s="61">
        <f t="shared" si="14"/>
        <v>168</v>
      </c>
      <c r="G46" s="61">
        <f t="shared" si="10"/>
        <v>37</v>
      </c>
      <c r="H46" s="61">
        <f t="shared" si="15"/>
        <v>24</v>
      </c>
      <c r="I46" s="61">
        <f t="shared" si="16"/>
        <v>0</v>
      </c>
      <c r="J46" s="61">
        <f t="shared" si="17"/>
        <v>0</v>
      </c>
      <c r="K46" s="11">
        <f t="shared" si="18"/>
        <v>0.6071428571428571</v>
      </c>
      <c r="L46" s="11">
        <f t="shared" si="11"/>
        <v>0.14749288410733644</v>
      </c>
      <c r="M46" s="11">
        <f t="shared" si="19"/>
        <v>0.29166666666666669</v>
      </c>
      <c r="N46" s="11">
        <f t="shared" si="12"/>
        <v>0.22081224194843604</v>
      </c>
      <c r="O46" s="11">
        <f t="shared" si="20"/>
        <v>0</v>
      </c>
      <c r="P46" s="11">
        <f t="shared" si="13"/>
        <v>0</v>
      </c>
      <c r="Q46" s="11">
        <f t="shared" si="21"/>
        <v>0.36830512605577248</v>
      </c>
      <c r="R46" s="20">
        <f t="shared" si="22"/>
        <v>1</v>
      </c>
      <c r="S46" s="56">
        <v>160.33583104115706</v>
      </c>
      <c r="T46" s="56">
        <v>193.88524902836318</v>
      </c>
      <c r="U46" s="56">
        <v>146.86883703803656</v>
      </c>
      <c r="V46" s="20">
        <f t="shared" si="24"/>
        <v>180.44992035931213</v>
      </c>
      <c r="W46" s="20">
        <f>AVERAGE(V42:V45)</f>
        <v>189.4153382445671</v>
      </c>
      <c r="X46" s="36"/>
      <c r="Y46" s="26"/>
      <c r="Z46" s="26"/>
      <c r="AA46" s="26"/>
      <c r="AB46" s="36"/>
      <c r="AC46" s="29"/>
      <c r="AD46" s="29"/>
      <c r="AE46" s="29"/>
      <c r="AF46" s="29"/>
      <c r="AG46" s="29"/>
      <c r="AH46" s="29"/>
      <c r="AI46" s="26"/>
      <c r="AJ46" s="26"/>
      <c r="AK46" s="26"/>
      <c r="AL46" s="26"/>
      <c r="AM46" s="26"/>
      <c r="AN46" s="26"/>
      <c r="AW46" s="5"/>
    </row>
    <row r="47" spans="1:49" x14ac:dyDescent="0.35">
      <c r="A47" s="79">
        <v>1</v>
      </c>
      <c r="B47" s="79">
        <v>25</v>
      </c>
      <c r="C47" s="16" t="str">
        <f t="shared" si="9"/>
        <v>Tue</v>
      </c>
      <c r="D47" s="12">
        <v>44691</v>
      </c>
      <c r="E47">
        <f t="shared" si="23"/>
        <v>101</v>
      </c>
      <c r="F47" s="61">
        <f t="shared" si="14"/>
        <v>168</v>
      </c>
      <c r="G47" s="61">
        <f t="shared" si="10"/>
        <v>37</v>
      </c>
      <c r="H47" s="61">
        <f t="shared" si="15"/>
        <v>25</v>
      </c>
      <c r="I47" s="61">
        <f t="shared" si="16"/>
        <v>0</v>
      </c>
      <c r="J47" s="61">
        <f t="shared" si="17"/>
        <v>0</v>
      </c>
      <c r="K47" s="11">
        <f t="shared" si="18"/>
        <v>0.60119047619047616</v>
      </c>
      <c r="L47" s="11">
        <f t="shared" si="11"/>
        <v>0.14604687543961747</v>
      </c>
      <c r="M47" s="11">
        <f t="shared" si="19"/>
        <v>0.29464285714285715</v>
      </c>
      <c r="N47" s="11">
        <f t="shared" si="12"/>
        <v>0.22306542809076702</v>
      </c>
      <c r="O47" s="11">
        <f t="shared" si="20"/>
        <v>0</v>
      </c>
      <c r="P47" s="11">
        <f t="shared" si="13"/>
        <v>0</v>
      </c>
      <c r="Q47" s="11">
        <f t="shared" si="21"/>
        <v>0.36911230353038449</v>
      </c>
      <c r="R47" s="20">
        <f t="shared" si="22"/>
        <v>1</v>
      </c>
      <c r="S47" s="56">
        <v>157.12911442033393</v>
      </c>
      <c r="T47" s="56">
        <v>190.0075440477959</v>
      </c>
      <c r="U47" s="56">
        <v>143.93146029727583</v>
      </c>
      <c r="V47" s="20">
        <f t="shared" si="24"/>
        <v>176.99851706461138</v>
      </c>
      <c r="W47" s="20">
        <f>W46</f>
        <v>189.4153382445671</v>
      </c>
      <c r="X47" s="36"/>
      <c r="Y47" s="26"/>
      <c r="Z47" s="26"/>
      <c r="AA47" s="26"/>
      <c r="AB47" s="36"/>
      <c r="AC47" s="29"/>
      <c r="AD47" s="29"/>
      <c r="AE47" s="29"/>
      <c r="AF47" s="29"/>
      <c r="AG47" s="29"/>
      <c r="AH47" s="29"/>
      <c r="AI47" s="26"/>
      <c r="AJ47" s="26"/>
      <c r="AK47" s="26"/>
      <c r="AL47" s="26"/>
      <c r="AM47" s="26"/>
      <c r="AN47" s="26"/>
      <c r="AW47" s="5"/>
    </row>
    <row r="48" spans="1:49" x14ac:dyDescent="0.35">
      <c r="A48" s="79">
        <v>1</v>
      </c>
      <c r="B48" s="79">
        <v>26</v>
      </c>
      <c r="C48" s="16" t="str">
        <f t="shared" si="9"/>
        <v>Wed</v>
      </c>
      <c r="D48" s="12">
        <v>44692</v>
      </c>
      <c r="E48">
        <f t="shared" si="23"/>
        <v>100</v>
      </c>
      <c r="F48" s="61">
        <f t="shared" si="14"/>
        <v>168</v>
      </c>
      <c r="G48" s="61">
        <f t="shared" si="10"/>
        <v>37</v>
      </c>
      <c r="H48" s="61">
        <f t="shared" si="15"/>
        <v>26</v>
      </c>
      <c r="I48" s="61">
        <f t="shared" si="16"/>
        <v>0</v>
      </c>
      <c r="J48" s="61">
        <f t="shared" si="17"/>
        <v>0</v>
      </c>
      <c r="K48" s="11">
        <f t="shared" si="18"/>
        <v>0.59523809523809523</v>
      </c>
      <c r="L48" s="11">
        <f t="shared" si="11"/>
        <v>0.14460086677189848</v>
      </c>
      <c r="M48" s="11">
        <f t="shared" si="19"/>
        <v>0.29761904761904762</v>
      </c>
      <c r="N48" s="11">
        <f t="shared" si="12"/>
        <v>0.22531861423309799</v>
      </c>
      <c r="O48" s="11">
        <f t="shared" si="20"/>
        <v>0</v>
      </c>
      <c r="P48" s="11">
        <f t="shared" si="13"/>
        <v>0</v>
      </c>
      <c r="Q48" s="11">
        <f t="shared" si="21"/>
        <v>0.3699194810049965</v>
      </c>
      <c r="R48" s="20">
        <f t="shared" si="22"/>
        <v>1</v>
      </c>
      <c r="S48" s="56">
        <v>153.98653213192725</v>
      </c>
      <c r="T48" s="56">
        <v>186.20739316683998</v>
      </c>
      <c r="U48" s="56">
        <v>141.05283109133032</v>
      </c>
      <c r="V48" s="20">
        <f t="shared" si="24"/>
        <v>173.61231593239086</v>
      </c>
      <c r="W48" s="20">
        <f t="shared" ref="W48:W50" si="25">W47</f>
        <v>189.4153382445671</v>
      </c>
      <c r="X48" s="36"/>
      <c r="Y48" s="26"/>
      <c r="Z48" s="26"/>
      <c r="AA48" s="26"/>
      <c r="AB48" s="36"/>
      <c r="AC48" s="29"/>
      <c r="AD48" s="29"/>
      <c r="AE48" s="29"/>
      <c r="AF48" s="29"/>
      <c r="AG48" s="29"/>
      <c r="AH48" s="29"/>
      <c r="AI48" s="26"/>
      <c r="AJ48" s="26"/>
      <c r="AK48" s="26"/>
      <c r="AL48" s="26"/>
      <c r="AM48" s="26"/>
      <c r="AN48" s="26"/>
      <c r="AW48" s="5"/>
    </row>
    <row r="49" spans="1:49" x14ac:dyDescent="0.35">
      <c r="A49" s="79">
        <v>1</v>
      </c>
      <c r="B49" s="79">
        <v>27</v>
      </c>
      <c r="C49" s="16" t="str">
        <f t="shared" si="9"/>
        <v>Thu</v>
      </c>
      <c r="D49" s="12">
        <v>44693</v>
      </c>
      <c r="E49">
        <f t="shared" si="23"/>
        <v>99</v>
      </c>
      <c r="F49" s="61">
        <f t="shared" si="14"/>
        <v>168</v>
      </c>
      <c r="G49" s="61">
        <f t="shared" si="10"/>
        <v>37</v>
      </c>
      <c r="H49" s="61">
        <f t="shared" si="15"/>
        <v>27</v>
      </c>
      <c r="I49" s="61">
        <f t="shared" si="16"/>
        <v>0</v>
      </c>
      <c r="J49" s="61">
        <f t="shared" si="17"/>
        <v>0</v>
      </c>
      <c r="K49" s="11">
        <f t="shared" si="18"/>
        <v>0.5892857142857143</v>
      </c>
      <c r="L49" s="11">
        <f t="shared" si="11"/>
        <v>0.14315485810417949</v>
      </c>
      <c r="M49" s="11">
        <f t="shared" si="19"/>
        <v>0.30059523809523808</v>
      </c>
      <c r="N49" s="11">
        <f t="shared" si="12"/>
        <v>0.22757180037542896</v>
      </c>
      <c r="O49" s="11">
        <f t="shared" si="20"/>
        <v>0</v>
      </c>
      <c r="P49" s="11">
        <f t="shared" si="13"/>
        <v>0</v>
      </c>
      <c r="Q49" s="11">
        <f t="shared" si="21"/>
        <v>0.37072665847960845</v>
      </c>
      <c r="R49" s="20">
        <f t="shared" si="22"/>
        <v>1</v>
      </c>
      <c r="S49" s="56">
        <v>150.90680148928871</v>
      </c>
      <c r="T49" s="56">
        <v>182.48324530350317</v>
      </c>
      <c r="U49" s="56">
        <v>138.2317744695037</v>
      </c>
      <c r="V49" s="20">
        <f t="shared" si="24"/>
        <v>170.29010723192016</v>
      </c>
      <c r="W49" s="20">
        <f t="shared" si="25"/>
        <v>189.4153382445671</v>
      </c>
      <c r="X49" s="36"/>
      <c r="Y49" s="26"/>
      <c r="Z49" s="26"/>
      <c r="AA49" s="26"/>
      <c r="AB49" s="36"/>
      <c r="AC49" s="29"/>
      <c r="AD49" s="29"/>
      <c r="AE49" s="29"/>
      <c r="AF49" s="29"/>
      <c r="AG49" s="29"/>
      <c r="AH49" s="29"/>
      <c r="AI49" s="26"/>
      <c r="AJ49" s="26"/>
      <c r="AK49" s="26"/>
      <c r="AL49" s="26"/>
      <c r="AM49" s="26"/>
      <c r="AN49" s="26"/>
      <c r="AW49" s="5"/>
    </row>
    <row r="50" spans="1:49" x14ac:dyDescent="0.35">
      <c r="A50" s="79">
        <v>1</v>
      </c>
      <c r="B50" s="79">
        <v>28</v>
      </c>
      <c r="C50" s="16" t="str">
        <f t="shared" si="9"/>
        <v>Fri</v>
      </c>
      <c r="D50" s="12">
        <v>44694</v>
      </c>
      <c r="E50">
        <f t="shared" si="23"/>
        <v>98</v>
      </c>
      <c r="F50" s="61">
        <f t="shared" si="14"/>
        <v>168</v>
      </c>
      <c r="G50" s="61">
        <f t="shared" si="10"/>
        <v>37</v>
      </c>
      <c r="H50" s="61">
        <f t="shared" si="15"/>
        <v>28</v>
      </c>
      <c r="I50" s="61">
        <f t="shared" si="16"/>
        <v>0</v>
      </c>
      <c r="J50" s="61">
        <f t="shared" si="17"/>
        <v>0</v>
      </c>
      <c r="K50" s="11">
        <f t="shared" si="18"/>
        <v>0.58333333333333337</v>
      </c>
      <c r="L50" s="11">
        <f t="shared" si="11"/>
        <v>0.14170884943646053</v>
      </c>
      <c r="M50" s="11">
        <f t="shared" si="19"/>
        <v>0.30357142857142855</v>
      </c>
      <c r="N50" s="11">
        <f t="shared" si="12"/>
        <v>0.22982498651775993</v>
      </c>
      <c r="O50" s="11">
        <f t="shared" si="20"/>
        <v>0</v>
      </c>
      <c r="P50" s="11">
        <f t="shared" si="13"/>
        <v>0</v>
      </c>
      <c r="Q50" s="11">
        <f t="shared" si="21"/>
        <v>0.37153383595422046</v>
      </c>
      <c r="R50" s="20">
        <f t="shared" si="22"/>
        <v>1</v>
      </c>
      <c r="S50" s="56">
        <v>147.88866545950293</v>
      </c>
      <c r="T50" s="56">
        <v>178.83358039743311</v>
      </c>
      <c r="U50" s="56">
        <v>135.46713898011362</v>
      </c>
      <c r="V50" s="20">
        <f t="shared" si="24"/>
        <v>167.03070306191216</v>
      </c>
      <c r="W50" s="20">
        <f t="shared" si="25"/>
        <v>189.4153382445671</v>
      </c>
      <c r="X50" s="36"/>
      <c r="Y50" s="26"/>
      <c r="Z50" s="26"/>
      <c r="AA50" s="26"/>
      <c r="AB50" s="36"/>
      <c r="AC50" s="29"/>
      <c r="AD50" s="29"/>
      <c r="AE50" s="29"/>
      <c r="AF50" s="29"/>
      <c r="AG50" s="29"/>
      <c r="AH50" s="29"/>
      <c r="AI50" s="26"/>
      <c r="AJ50" s="26"/>
      <c r="AK50" s="26"/>
      <c r="AL50" s="26"/>
      <c r="AM50" s="26"/>
      <c r="AN50" s="26"/>
      <c r="AW50" s="5"/>
    </row>
    <row r="51" spans="1:49" x14ac:dyDescent="0.35">
      <c r="A51" s="79">
        <v>1</v>
      </c>
      <c r="B51" s="79">
        <v>29</v>
      </c>
      <c r="C51" s="16" t="str">
        <f t="shared" si="9"/>
        <v>Mon</v>
      </c>
      <c r="D51" s="12">
        <v>44697</v>
      </c>
      <c r="E51">
        <f t="shared" si="23"/>
        <v>97</v>
      </c>
      <c r="F51" s="61">
        <f t="shared" si="14"/>
        <v>168</v>
      </c>
      <c r="G51" s="61">
        <f t="shared" si="10"/>
        <v>37</v>
      </c>
      <c r="H51" s="61">
        <f t="shared" si="15"/>
        <v>29</v>
      </c>
      <c r="I51" s="61">
        <f t="shared" si="16"/>
        <v>0</v>
      </c>
      <c r="J51" s="61">
        <f t="shared" si="17"/>
        <v>0</v>
      </c>
      <c r="K51" s="11">
        <f t="shared" si="18"/>
        <v>0.57738095238095233</v>
      </c>
      <c r="L51" s="11">
        <f t="shared" si="11"/>
        <v>0.14026284076874151</v>
      </c>
      <c r="M51" s="11">
        <f t="shared" si="19"/>
        <v>0.30654761904761907</v>
      </c>
      <c r="N51" s="11">
        <f t="shared" si="12"/>
        <v>0.23207817266009095</v>
      </c>
      <c r="O51" s="11">
        <f t="shared" si="20"/>
        <v>0</v>
      </c>
      <c r="P51" s="11">
        <f t="shared" si="13"/>
        <v>0</v>
      </c>
      <c r="Q51" s="11">
        <f t="shared" si="21"/>
        <v>0.37234101342883247</v>
      </c>
      <c r="R51" s="20">
        <f t="shared" si="22"/>
        <v>1</v>
      </c>
      <c r="S51" s="56">
        <v>144.93089215031287</v>
      </c>
      <c r="T51" s="56">
        <v>175.25690878948444</v>
      </c>
      <c r="U51" s="56">
        <v>132.75779620051134</v>
      </c>
      <c r="V51" s="20">
        <f t="shared" si="24"/>
        <v>163.83293697440169</v>
      </c>
      <c r="W51" s="20">
        <f>AVERAGE(V46:V50)</f>
        <v>173.67631273002934</v>
      </c>
      <c r="X51" s="36"/>
      <c r="Y51" s="26"/>
      <c r="Z51" s="26"/>
      <c r="AA51" s="26"/>
      <c r="AB51" s="36"/>
      <c r="AC51" s="29"/>
      <c r="AD51" s="29"/>
      <c r="AE51" s="29"/>
      <c r="AF51" s="29"/>
      <c r="AG51" s="29"/>
      <c r="AH51" s="29"/>
      <c r="AI51" s="26"/>
      <c r="AJ51" s="26"/>
      <c r="AK51" s="26"/>
      <c r="AL51" s="26"/>
      <c r="AM51" s="26"/>
      <c r="AN51" s="26"/>
      <c r="AW51" s="5"/>
    </row>
    <row r="52" spans="1:49" x14ac:dyDescent="0.35">
      <c r="A52" s="79">
        <v>1</v>
      </c>
      <c r="B52" s="79">
        <v>30</v>
      </c>
      <c r="C52" s="16" t="str">
        <f t="shared" si="9"/>
        <v>Tue</v>
      </c>
      <c r="D52" s="12">
        <v>44698</v>
      </c>
      <c r="E52">
        <f t="shared" si="23"/>
        <v>96</v>
      </c>
      <c r="F52" s="61">
        <f t="shared" si="14"/>
        <v>168</v>
      </c>
      <c r="G52" s="61">
        <f t="shared" si="10"/>
        <v>37</v>
      </c>
      <c r="H52" s="61">
        <f t="shared" si="15"/>
        <v>30</v>
      </c>
      <c r="I52" s="61">
        <f t="shared" si="16"/>
        <v>0</v>
      </c>
      <c r="J52" s="61">
        <f t="shared" si="17"/>
        <v>0</v>
      </c>
      <c r="K52" s="11">
        <f t="shared" si="18"/>
        <v>0.5714285714285714</v>
      </c>
      <c r="L52" s="11">
        <f t="shared" si="11"/>
        <v>0.13881683210102255</v>
      </c>
      <c r="M52" s="11">
        <f t="shared" si="19"/>
        <v>0.30952380952380953</v>
      </c>
      <c r="N52" s="11">
        <f t="shared" si="12"/>
        <v>0.23433135880242192</v>
      </c>
      <c r="O52" s="11">
        <f t="shared" si="20"/>
        <v>0</v>
      </c>
      <c r="P52" s="11">
        <f t="shared" si="13"/>
        <v>0</v>
      </c>
      <c r="Q52" s="11">
        <f t="shared" si="21"/>
        <v>0.37314819090344448</v>
      </c>
      <c r="R52" s="20">
        <f t="shared" si="22"/>
        <v>1</v>
      </c>
      <c r="S52" s="56">
        <v>142.03227430730661</v>
      </c>
      <c r="T52" s="56">
        <v>171.75177061369476</v>
      </c>
      <c r="U52" s="56">
        <v>130.10264027650112</v>
      </c>
      <c r="V52" s="20">
        <f t="shared" si="24"/>
        <v>160.69566360456719</v>
      </c>
      <c r="W52" s="20">
        <f>W51</f>
        <v>173.67631273002934</v>
      </c>
      <c r="X52" s="36"/>
      <c r="Y52" s="26"/>
      <c r="Z52" s="26"/>
      <c r="AA52" s="26"/>
      <c r="AB52" s="36"/>
      <c r="AC52" s="29"/>
      <c r="AD52" s="29"/>
      <c r="AE52" s="29"/>
      <c r="AF52" s="29"/>
      <c r="AG52" s="29"/>
      <c r="AH52" s="29"/>
      <c r="AI52" s="26"/>
      <c r="AJ52" s="26"/>
      <c r="AK52" s="26"/>
      <c r="AL52" s="26"/>
      <c r="AM52" s="26"/>
      <c r="AN52" s="26"/>
      <c r="AW52" s="5"/>
    </row>
    <row r="53" spans="1:49" x14ac:dyDescent="0.35">
      <c r="A53" s="79">
        <v>1</v>
      </c>
      <c r="B53" s="79">
        <v>31</v>
      </c>
      <c r="C53" s="16" t="str">
        <f t="shared" si="9"/>
        <v>Wed</v>
      </c>
      <c r="D53" s="12">
        <v>44699</v>
      </c>
      <c r="E53">
        <f t="shared" si="23"/>
        <v>95</v>
      </c>
      <c r="F53" s="61">
        <f t="shared" si="14"/>
        <v>168</v>
      </c>
      <c r="G53" s="61">
        <f t="shared" si="10"/>
        <v>37</v>
      </c>
      <c r="H53" s="61">
        <f t="shared" si="15"/>
        <v>31</v>
      </c>
      <c r="I53" s="61">
        <f t="shared" si="16"/>
        <v>0</v>
      </c>
      <c r="J53" s="61">
        <f t="shared" si="17"/>
        <v>0</v>
      </c>
      <c r="K53" s="11">
        <f t="shared" si="18"/>
        <v>0.56547619047619047</v>
      </c>
      <c r="L53" s="11">
        <f t="shared" si="11"/>
        <v>0.13737082343330356</v>
      </c>
      <c r="M53" s="11">
        <f t="shared" si="19"/>
        <v>0.3125</v>
      </c>
      <c r="N53" s="11">
        <f t="shared" si="12"/>
        <v>0.23658454494475289</v>
      </c>
      <c r="O53" s="11">
        <f t="shared" si="20"/>
        <v>0</v>
      </c>
      <c r="P53" s="11">
        <f t="shared" si="13"/>
        <v>0</v>
      </c>
      <c r="Q53" s="11">
        <f t="shared" si="21"/>
        <v>0.37395536837805643</v>
      </c>
      <c r="R53" s="20">
        <f t="shared" si="22"/>
        <v>1</v>
      </c>
      <c r="S53" s="56">
        <v>139.19162882116046</v>
      </c>
      <c r="T53" s="56">
        <v>168.31673520142087</v>
      </c>
      <c r="U53" s="56">
        <v>127.5005874709711</v>
      </c>
      <c r="V53" s="20">
        <f t="shared" si="24"/>
        <v>157.61775830641849</v>
      </c>
      <c r="W53" s="20">
        <f>W52</f>
        <v>173.67631273002934</v>
      </c>
      <c r="X53" s="36"/>
      <c r="Y53" s="26"/>
      <c r="Z53" s="26"/>
      <c r="AA53" s="26"/>
      <c r="AB53" s="36"/>
      <c r="AC53" s="29"/>
      <c r="AD53" s="29"/>
      <c r="AE53" s="29"/>
      <c r="AF53" s="29"/>
      <c r="AG53" s="29"/>
      <c r="AH53" s="29"/>
      <c r="AI53" s="26"/>
      <c r="AJ53" s="26"/>
      <c r="AK53" s="26"/>
      <c r="AL53" s="26"/>
      <c r="AM53" s="26"/>
      <c r="AN53" s="26"/>
      <c r="AW53" s="5"/>
    </row>
    <row r="54" spans="1:49" x14ac:dyDescent="0.35">
      <c r="A54" s="79">
        <v>1</v>
      </c>
      <c r="B54" s="79">
        <v>32</v>
      </c>
      <c r="C54" s="16" t="str">
        <f t="shared" si="9"/>
        <v>Thu</v>
      </c>
      <c r="D54" s="12">
        <v>44700</v>
      </c>
      <c r="E54">
        <f t="shared" si="23"/>
        <v>94</v>
      </c>
      <c r="F54" s="61">
        <f t="shared" si="14"/>
        <v>168</v>
      </c>
      <c r="G54" s="61">
        <f t="shared" si="10"/>
        <v>37</v>
      </c>
      <c r="H54" s="61">
        <f t="shared" si="15"/>
        <v>32</v>
      </c>
      <c r="I54" s="61">
        <f t="shared" si="16"/>
        <v>0</v>
      </c>
      <c r="J54" s="61">
        <f t="shared" si="17"/>
        <v>0</v>
      </c>
      <c r="K54" s="11">
        <f t="shared" si="18"/>
        <v>0.55952380952380953</v>
      </c>
      <c r="L54" s="11">
        <f t="shared" si="11"/>
        <v>0.13592481476558457</v>
      </c>
      <c r="M54" s="11">
        <f t="shared" si="19"/>
        <v>0.31547619047619047</v>
      </c>
      <c r="N54" s="11">
        <f t="shared" si="12"/>
        <v>0.23883773108708387</v>
      </c>
      <c r="O54" s="11">
        <f t="shared" si="20"/>
        <v>0</v>
      </c>
      <c r="P54" s="11">
        <f t="shared" si="13"/>
        <v>0</v>
      </c>
      <c r="Q54" s="11">
        <f t="shared" si="21"/>
        <v>0.37476254585266844</v>
      </c>
      <c r="R54" s="20">
        <f t="shared" si="22"/>
        <v>1</v>
      </c>
      <c r="S54" s="56">
        <v>136.40779624473726</v>
      </c>
      <c r="T54" s="56">
        <v>164.95040049739245</v>
      </c>
      <c r="U54" s="56">
        <v>124.95057572155167</v>
      </c>
      <c r="V54" s="20">
        <f t="shared" si="24"/>
        <v>154.59811679427457</v>
      </c>
      <c r="W54" s="20">
        <f>W53</f>
        <v>173.67631273002934</v>
      </c>
      <c r="X54" s="36"/>
      <c r="Y54" s="26"/>
      <c r="Z54" s="26"/>
      <c r="AA54" s="26"/>
      <c r="AB54" s="36"/>
      <c r="AC54" s="29"/>
      <c r="AD54" s="29"/>
      <c r="AE54" s="29"/>
      <c r="AF54" s="29"/>
      <c r="AG54" s="29"/>
      <c r="AH54" s="29"/>
      <c r="AI54" s="26"/>
      <c r="AJ54" s="26"/>
      <c r="AK54" s="26"/>
      <c r="AL54" s="26"/>
      <c r="AM54" s="26"/>
      <c r="AN54" s="26"/>
      <c r="AW54" s="5"/>
    </row>
    <row r="55" spans="1:49" x14ac:dyDescent="0.35">
      <c r="A55" s="79">
        <v>1</v>
      </c>
      <c r="B55" s="79">
        <v>33</v>
      </c>
      <c r="C55" s="16" t="str">
        <f t="shared" ref="C55:C86" si="26">TEXT(D55,"ddd")</f>
        <v>Fri</v>
      </c>
      <c r="D55" s="12">
        <v>44701</v>
      </c>
      <c r="E55">
        <f t="shared" si="23"/>
        <v>93</v>
      </c>
      <c r="F55" s="61">
        <f t="shared" si="14"/>
        <v>168</v>
      </c>
      <c r="G55" s="61">
        <f t="shared" ref="G55:G86" si="27">$E$18</f>
        <v>37</v>
      </c>
      <c r="H55" s="61">
        <f t="shared" si="15"/>
        <v>33</v>
      </c>
      <c r="I55" s="61">
        <f t="shared" si="16"/>
        <v>1</v>
      </c>
      <c r="J55" s="61">
        <f t="shared" si="17"/>
        <v>0</v>
      </c>
      <c r="K55" s="11">
        <f t="shared" si="18"/>
        <v>0.5535714285714286</v>
      </c>
      <c r="L55" s="11">
        <f t="shared" ref="L55:L86" si="28">K55*$D$6</f>
        <v>0.13447880609786561</v>
      </c>
      <c r="M55" s="11">
        <f t="shared" si="19"/>
        <v>0.32142857142857145</v>
      </c>
      <c r="N55" s="11">
        <f t="shared" ref="N55:N86" si="29">M55*$D$7</f>
        <v>0.24334410337174586</v>
      </c>
      <c r="O55" s="11">
        <f t="shared" si="20"/>
        <v>0</v>
      </c>
      <c r="P55" s="11">
        <f t="shared" ref="P55:P86" si="30">O55*$D$6</f>
        <v>0</v>
      </c>
      <c r="Q55" s="11">
        <f t="shared" si="21"/>
        <v>0.3778229094696115</v>
      </c>
      <c r="R55" s="20">
        <f t="shared" ref="R55:R86" si="31">(L55/Q55)+(N55/Q55)+(P55/Q55)</f>
        <v>0.99999999999999989</v>
      </c>
      <c r="S55" s="56">
        <v>133.67964031984252</v>
      </c>
      <c r="T55" s="56">
        <v>161.65139248744461</v>
      </c>
      <c r="U55" s="56">
        <v>122.45156420712064</v>
      </c>
      <c r="V55" s="20">
        <f t="shared" ref="V55:V86" si="32">((S55*L55)+(T55*N55)+(U55*P55))/(L55+N55+P55)</f>
        <v>151.69538468144611</v>
      </c>
      <c r="W55" s="20">
        <f>W54</f>
        <v>173.67631273002934</v>
      </c>
      <c r="X55" s="36"/>
      <c r="Y55" s="26"/>
      <c r="Z55" s="26"/>
      <c r="AA55" s="26"/>
      <c r="AB55" s="36"/>
      <c r="AC55" s="29"/>
      <c r="AD55" s="29"/>
      <c r="AE55" s="29"/>
      <c r="AF55" s="29"/>
      <c r="AG55" s="29"/>
      <c r="AH55" s="29"/>
      <c r="AI55" s="26"/>
      <c r="AJ55" s="26"/>
      <c r="AK55" s="26"/>
      <c r="AL55" s="26"/>
      <c r="AM55" s="26"/>
      <c r="AN55" s="26"/>
      <c r="AW55" s="5"/>
    </row>
    <row r="56" spans="1:49" x14ac:dyDescent="0.35">
      <c r="A56" s="79">
        <v>1</v>
      </c>
      <c r="B56" s="79">
        <v>34</v>
      </c>
      <c r="C56" s="16" t="str">
        <f t="shared" si="26"/>
        <v>Mon</v>
      </c>
      <c r="D56" s="12">
        <v>44704</v>
      </c>
      <c r="E56">
        <f t="shared" si="23"/>
        <v>92</v>
      </c>
      <c r="F56" s="61">
        <f t="shared" si="14"/>
        <v>168</v>
      </c>
      <c r="G56" s="61">
        <f t="shared" si="27"/>
        <v>37</v>
      </c>
      <c r="H56" s="61">
        <f t="shared" si="15"/>
        <v>34</v>
      </c>
      <c r="I56" s="61">
        <f t="shared" si="16"/>
        <v>2</v>
      </c>
      <c r="J56" s="61">
        <f t="shared" si="17"/>
        <v>0</v>
      </c>
      <c r="K56" s="11">
        <f t="shared" si="18"/>
        <v>0.54761904761904767</v>
      </c>
      <c r="L56" s="11">
        <f t="shared" si="28"/>
        <v>0.13303279743014662</v>
      </c>
      <c r="M56" s="11">
        <f t="shared" si="19"/>
        <v>0.32738095238095238</v>
      </c>
      <c r="N56" s="11">
        <f t="shared" si="29"/>
        <v>0.2478504756564078</v>
      </c>
      <c r="O56" s="11">
        <f t="shared" si="20"/>
        <v>0</v>
      </c>
      <c r="P56" s="11">
        <f t="shared" si="30"/>
        <v>0</v>
      </c>
      <c r="Q56" s="11">
        <f t="shared" si="21"/>
        <v>0.38088327308655445</v>
      </c>
      <c r="R56" s="20">
        <f t="shared" si="31"/>
        <v>0.99999999999999989</v>
      </c>
      <c r="S56" s="56">
        <v>131.00604751344568</v>
      </c>
      <c r="T56" s="56">
        <v>158.41836463769573</v>
      </c>
      <c r="U56" s="56">
        <v>120.00253292297823</v>
      </c>
      <c r="V56" s="20">
        <f t="shared" si="32"/>
        <v>148.84394252792617</v>
      </c>
      <c r="W56" s="20">
        <f>AVERAGE(V51:V55)</f>
        <v>157.68797207222161</v>
      </c>
      <c r="X56" s="36"/>
      <c r="Y56" s="26"/>
      <c r="Z56" s="26"/>
      <c r="AA56" s="26"/>
      <c r="AB56" s="36"/>
      <c r="AC56" s="29"/>
      <c r="AD56" s="29"/>
      <c r="AE56" s="29"/>
      <c r="AF56" s="29"/>
      <c r="AG56" s="29"/>
      <c r="AH56" s="29"/>
      <c r="AI56" s="26"/>
      <c r="AJ56" s="26"/>
      <c r="AK56" s="26"/>
      <c r="AL56" s="26"/>
      <c r="AM56" s="26"/>
      <c r="AN56" s="26"/>
      <c r="AW56" s="5"/>
    </row>
    <row r="57" spans="1:49" x14ac:dyDescent="0.35">
      <c r="A57" s="79">
        <v>1</v>
      </c>
      <c r="B57" s="79">
        <v>35</v>
      </c>
      <c r="C57" s="16" t="str">
        <f t="shared" si="26"/>
        <v>Tue</v>
      </c>
      <c r="D57" s="12">
        <v>44705</v>
      </c>
      <c r="E57">
        <f t="shared" si="23"/>
        <v>91</v>
      </c>
      <c r="F57" s="61">
        <f t="shared" si="14"/>
        <v>168</v>
      </c>
      <c r="G57" s="61">
        <f t="shared" si="27"/>
        <v>37</v>
      </c>
      <c r="H57" s="61">
        <f t="shared" si="15"/>
        <v>35</v>
      </c>
      <c r="I57" s="61">
        <f t="shared" si="16"/>
        <v>3</v>
      </c>
      <c r="J57" s="61">
        <f t="shared" si="17"/>
        <v>0</v>
      </c>
      <c r="K57" s="11">
        <f t="shared" si="18"/>
        <v>0.54166666666666663</v>
      </c>
      <c r="L57" s="11">
        <f t="shared" si="28"/>
        <v>0.1315867887624276</v>
      </c>
      <c r="M57" s="11">
        <f t="shared" si="19"/>
        <v>0.33333333333333331</v>
      </c>
      <c r="N57" s="11">
        <f t="shared" si="29"/>
        <v>0.25235684794106972</v>
      </c>
      <c r="O57" s="11">
        <f t="shared" si="20"/>
        <v>0</v>
      </c>
      <c r="P57" s="11">
        <f t="shared" si="30"/>
        <v>0</v>
      </c>
      <c r="Q57" s="11">
        <f t="shared" si="21"/>
        <v>0.38394363670349729</v>
      </c>
      <c r="R57" s="20">
        <f t="shared" si="31"/>
        <v>1</v>
      </c>
      <c r="S57" s="56">
        <v>128.38592656317675</v>
      </c>
      <c r="T57" s="56">
        <v>155.24999734494182</v>
      </c>
      <c r="U57" s="56">
        <v>117.60248226451867</v>
      </c>
      <c r="V57" s="20">
        <f t="shared" si="32"/>
        <v>146.04302926595551</v>
      </c>
      <c r="W57" s="20">
        <f>W56</f>
        <v>157.68797207222161</v>
      </c>
      <c r="X57" s="36"/>
      <c r="Y57" s="26"/>
      <c r="Z57" s="26"/>
      <c r="AA57" s="26"/>
      <c r="AB57" s="36"/>
      <c r="AC57" s="29"/>
      <c r="AD57" s="29"/>
      <c r="AE57" s="29"/>
      <c r="AF57" s="29"/>
      <c r="AG57" s="29"/>
      <c r="AH57" s="29"/>
      <c r="AI57" s="26"/>
      <c r="AJ57" s="26"/>
      <c r="AK57" s="26"/>
      <c r="AL57" s="26"/>
      <c r="AM57" s="26"/>
      <c r="AN57" s="26"/>
      <c r="AW57" s="5"/>
    </row>
    <row r="58" spans="1:49" x14ac:dyDescent="0.35">
      <c r="A58" s="79">
        <v>1</v>
      </c>
      <c r="B58" s="79">
        <v>36</v>
      </c>
      <c r="C58" s="16" t="str">
        <f t="shared" si="26"/>
        <v>Wed</v>
      </c>
      <c r="D58" s="12">
        <v>44706</v>
      </c>
      <c r="E58">
        <f t="shared" si="23"/>
        <v>90</v>
      </c>
      <c r="F58" s="61">
        <f t="shared" si="14"/>
        <v>168</v>
      </c>
      <c r="G58" s="61">
        <f t="shared" si="27"/>
        <v>37</v>
      </c>
      <c r="H58" s="61">
        <f t="shared" si="15"/>
        <v>36</v>
      </c>
      <c r="I58" s="61">
        <f t="shared" si="16"/>
        <v>4</v>
      </c>
      <c r="J58" s="61">
        <f t="shared" si="17"/>
        <v>0</v>
      </c>
      <c r="K58" s="11">
        <f t="shared" si="18"/>
        <v>0.5357142857142857</v>
      </c>
      <c r="L58" s="11">
        <f t="shared" si="28"/>
        <v>0.13014078009470864</v>
      </c>
      <c r="M58" s="11">
        <f t="shared" si="19"/>
        <v>0.3392857142857143</v>
      </c>
      <c r="N58" s="11">
        <f t="shared" si="29"/>
        <v>0.25686322022573171</v>
      </c>
      <c r="O58" s="11">
        <f t="shared" si="20"/>
        <v>0</v>
      </c>
      <c r="P58" s="11">
        <f t="shared" si="30"/>
        <v>0</v>
      </c>
      <c r="Q58" s="11">
        <f t="shared" si="21"/>
        <v>0.38700400032044036</v>
      </c>
      <c r="R58" s="20">
        <f t="shared" si="31"/>
        <v>1</v>
      </c>
      <c r="S58" s="56">
        <v>125.81820803191322</v>
      </c>
      <c r="T58" s="56">
        <v>152.14499739804299</v>
      </c>
      <c r="U58" s="56">
        <v>115.25043261922829</v>
      </c>
      <c r="V58" s="20">
        <f t="shared" si="32"/>
        <v>143.29188760418992</v>
      </c>
      <c r="W58" s="20">
        <f>W57</f>
        <v>157.68797207222161</v>
      </c>
      <c r="X58" s="36"/>
      <c r="Y58" s="26"/>
      <c r="Z58" s="26"/>
      <c r="AA58" s="26"/>
      <c r="AB58" s="36"/>
      <c r="AC58" s="29"/>
      <c r="AD58" s="29"/>
      <c r="AE58" s="29"/>
      <c r="AF58" s="29"/>
      <c r="AG58" s="29"/>
      <c r="AH58" s="29"/>
      <c r="AI58" s="26"/>
      <c r="AJ58" s="26"/>
      <c r="AK58" s="26"/>
      <c r="AL58" s="26"/>
      <c r="AM58" s="26"/>
      <c r="AN58" s="26"/>
      <c r="AW58" s="5"/>
    </row>
    <row r="59" spans="1:49" x14ac:dyDescent="0.35">
      <c r="A59" s="79">
        <v>1</v>
      </c>
      <c r="B59" s="79">
        <v>37</v>
      </c>
      <c r="C59" s="16" t="str">
        <f t="shared" si="26"/>
        <v>Thu</v>
      </c>
      <c r="D59" s="12">
        <v>44707</v>
      </c>
      <c r="E59">
        <f t="shared" si="23"/>
        <v>89</v>
      </c>
      <c r="F59" s="61">
        <f t="shared" si="14"/>
        <v>168</v>
      </c>
      <c r="G59" s="61">
        <f t="shared" si="27"/>
        <v>37</v>
      </c>
      <c r="H59" s="61">
        <f t="shared" si="15"/>
        <v>37</v>
      </c>
      <c r="I59" s="61">
        <f t="shared" si="16"/>
        <v>5</v>
      </c>
      <c r="J59" s="61">
        <f t="shared" si="17"/>
        <v>0</v>
      </c>
      <c r="K59" s="11">
        <f t="shared" si="18"/>
        <v>0.52976190476190477</v>
      </c>
      <c r="L59" s="11">
        <f t="shared" si="28"/>
        <v>0.12869477142698965</v>
      </c>
      <c r="M59" s="11">
        <f t="shared" si="19"/>
        <v>0.34523809523809523</v>
      </c>
      <c r="N59" s="11">
        <f t="shared" si="29"/>
        <v>0.26136959251039366</v>
      </c>
      <c r="O59" s="11">
        <f t="shared" si="20"/>
        <v>0</v>
      </c>
      <c r="P59" s="11">
        <f t="shared" si="30"/>
        <v>0</v>
      </c>
      <c r="Q59" s="11">
        <f t="shared" si="21"/>
        <v>0.39006436393738331</v>
      </c>
      <c r="R59" s="20">
        <f t="shared" si="31"/>
        <v>1</v>
      </c>
      <c r="S59" s="56">
        <v>123.30184387127495</v>
      </c>
      <c r="T59" s="56">
        <v>149.10209745008214</v>
      </c>
      <c r="U59" s="56">
        <v>112.94542396684372</v>
      </c>
      <c r="V59" s="20">
        <f t="shared" si="32"/>
        <v>140.58976450183062</v>
      </c>
      <c r="W59" s="20">
        <f>W58</f>
        <v>157.68797207222161</v>
      </c>
      <c r="X59" s="36"/>
      <c r="Y59" s="26"/>
      <c r="Z59" s="26"/>
      <c r="AA59" s="26"/>
      <c r="AB59" s="36"/>
      <c r="AC59" s="29"/>
      <c r="AD59" s="29"/>
      <c r="AE59" s="29"/>
      <c r="AF59" s="29"/>
      <c r="AG59" s="29"/>
      <c r="AH59" s="29"/>
      <c r="AI59" s="26"/>
      <c r="AJ59" s="26"/>
      <c r="AK59" s="26"/>
      <c r="AL59" s="26"/>
      <c r="AM59" s="26"/>
      <c r="AN59" s="26"/>
      <c r="AW59" s="5"/>
    </row>
    <row r="60" spans="1:49" x14ac:dyDescent="0.35">
      <c r="A60" s="79">
        <v>1</v>
      </c>
      <c r="B60" s="79">
        <v>38</v>
      </c>
      <c r="C60" s="16" t="str">
        <f t="shared" si="26"/>
        <v>Fri</v>
      </c>
      <c r="D60" s="12">
        <v>44708</v>
      </c>
      <c r="E60">
        <f t="shared" si="23"/>
        <v>88</v>
      </c>
      <c r="F60" s="61">
        <f t="shared" si="14"/>
        <v>168</v>
      </c>
      <c r="G60" s="61">
        <f t="shared" si="27"/>
        <v>37</v>
      </c>
      <c r="H60" s="61">
        <f t="shared" si="15"/>
        <v>38</v>
      </c>
      <c r="I60" s="61">
        <f t="shared" si="16"/>
        <v>6</v>
      </c>
      <c r="J60" s="61">
        <f t="shared" si="17"/>
        <v>0</v>
      </c>
      <c r="K60" s="11">
        <f t="shared" si="18"/>
        <v>0.52380952380952384</v>
      </c>
      <c r="L60" s="11">
        <f t="shared" si="28"/>
        <v>0.12724876275927069</v>
      </c>
      <c r="M60" s="11">
        <f t="shared" si="19"/>
        <v>0.35119047619047616</v>
      </c>
      <c r="N60" s="11">
        <f t="shared" si="29"/>
        <v>0.2658759647950556</v>
      </c>
      <c r="O60" s="11">
        <f t="shared" si="20"/>
        <v>0</v>
      </c>
      <c r="P60" s="11">
        <f t="shared" si="30"/>
        <v>0</v>
      </c>
      <c r="Q60" s="11">
        <f t="shared" si="21"/>
        <v>0.39312472755432626</v>
      </c>
      <c r="R60" s="20">
        <f t="shared" si="31"/>
        <v>1</v>
      </c>
      <c r="S60" s="56">
        <v>150.5</v>
      </c>
      <c r="T60" s="56">
        <v>146.12005550108049</v>
      </c>
      <c r="U60" s="56">
        <v>110.68651548750684</v>
      </c>
      <c r="V60" s="20">
        <f t="shared" si="32"/>
        <v>147.53777990093974</v>
      </c>
      <c r="W60" s="20">
        <f>W59</f>
        <v>157.68797207222161</v>
      </c>
      <c r="X60" s="36"/>
      <c r="Y60" s="26"/>
      <c r="Z60" s="26"/>
      <c r="AA60" s="26"/>
      <c r="AB60" s="36"/>
      <c r="AC60" s="29"/>
      <c r="AD60" s="29"/>
      <c r="AE60" s="29"/>
      <c r="AF60" s="29"/>
      <c r="AG60" s="29"/>
      <c r="AH60" s="29"/>
      <c r="AI60" s="26"/>
      <c r="AJ60" s="26"/>
      <c r="AK60" s="26"/>
      <c r="AL60" s="26"/>
      <c r="AM60" s="26"/>
      <c r="AN60" s="26"/>
      <c r="AW60" s="5"/>
    </row>
    <row r="61" spans="1:49" x14ac:dyDescent="0.35">
      <c r="A61" s="79">
        <v>1</v>
      </c>
      <c r="B61" s="79">
        <v>39</v>
      </c>
      <c r="C61" s="16" t="str">
        <f t="shared" si="26"/>
        <v>Mon</v>
      </c>
      <c r="D61" s="12">
        <v>44711</v>
      </c>
      <c r="E61">
        <f t="shared" si="23"/>
        <v>87</v>
      </c>
      <c r="F61" s="61">
        <f t="shared" si="14"/>
        <v>168</v>
      </c>
      <c r="G61" s="61">
        <f t="shared" si="27"/>
        <v>37</v>
      </c>
      <c r="H61" s="61">
        <f t="shared" si="15"/>
        <v>39</v>
      </c>
      <c r="I61" s="61">
        <f t="shared" si="16"/>
        <v>7</v>
      </c>
      <c r="J61" s="61">
        <f t="shared" si="17"/>
        <v>0</v>
      </c>
      <c r="K61" s="11">
        <f t="shared" si="18"/>
        <v>0.5178571428571429</v>
      </c>
      <c r="L61" s="11">
        <f t="shared" si="28"/>
        <v>0.1258027540915517</v>
      </c>
      <c r="M61" s="11">
        <f t="shared" si="19"/>
        <v>0.35714285714285715</v>
      </c>
      <c r="N61" s="11">
        <f t="shared" si="29"/>
        <v>0.27038233707971759</v>
      </c>
      <c r="O61" s="11">
        <f t="shared" si="20"/>
        <v>0</v>
      </c>
      <c r="P61" s="11">
        <f t="shared" si="30"/>
        <v>0</v>
      </c>
      <c r="Q61" s="11">
        <f t="shared" si="21"/>
        <v>0.39618509117126932</v>
      </c>
      <c r="R61" s="20">
        <f t="shared" si="31"/>
        <v>1</v>
      </c>
      <c r="S61" s="56">
        <v>147.49</v>
      </c>
      <c r="T61" s="56">
        <v>143.19765439105888</v>
      </c>
      <c r="U61" s="56">
        <v>108.47278517775671</v>
      </c>
      <c r="V61" s="20">
        <f t="shared" si="32"/>
        <v>144.56062566673501</v>
      </c>
      <c r="W61" s="20">
        <f>AVERAGE(V56:V60)</f>
        <v>145.2612807601684</v>
      </c>
      <c r="X61" s="36"/>
      <c r="Y61" s="26"/>
      <c r="Z61" s="26"/>
      <c r="AA61" s="26"/>
      <c r="AB61" s="36"/>
      <c r="AC61" s="29"/>
      <c r="AD61" s="29"/>
      <c r="AE61" s="29"/>
      <c r="AF61" s="29"/>
      <c r="AG61" s="29"/>
      <c r="AH61" s="29"/>
      <c r="AI61" s="26"/>
      <c r="AJ61" s="26"/>
      <c r="AK61" s="26"/>
      <c r="AL61" s="26"/>
      <c r="AM61" s="26"/>
      <c r="AN61" s="26"/>
      <c r="AW61" s="5"/>
    </row>
    <row r="62" spans="1:49" x14ac:dyDescent="0.35">
      <c r="A62" s="79">
        <v>1</v>
      </c>
      <c r="B62" s="79">
        <v>40</v>
      </c>
      <c r="C62" s="16" t="str">
        <f t="shared" si="26"/>
        <v>Tue</v>
      </c>
      <c r="D62" s="12">
        <v>44712</v>
      </c>
      <c r="E62">
        <f t="shared" si="23"/>
        <v>86</v>
      </c>
      <c r="F62" s="61">
        <f t="shared" si="14"/>
        <v>168</v>
      </c>
      <c r="G62" s="61">
        <f t="shared" si="27"/>
        <v>37</v>
      </c>
      <c r="H62" s="61">
        <f t="shared" si="15"/>
        <v>40</v>
      </c>
      <c r="I62" s="61">
        <f t="shared" si="16"/>
        <v>8</v>
      </c>
      <c r="J62" s="61">
        <f t="shared" si="17"/>
        <v>0</v>
      </c>
      <c r="K62" s="11">
        <f t="shared" si="18"/>
        <v>0.51190476190476186</v>
      </c>
      <c r="L62" s="11">
        <f t="shared" si="28"/>
        <v>0.1243567454238327</v>
      </c>
      <c r="M62" s="11">
        <f t="shared" si="19"/>
        <v>0.36309523809523808</v>
      </c>
      <c r="N62" s="11">
        <f t="shared" si="29"/>
        <v>0.27488870936437954</v>
      </c>
      <c r="O62" s="11">
        <f t="shared" si="20"/>
        <v>0</v>
      </c>
      <c r="P62" s="11">
        <f t="shared" si="30"/>
        <v>0</v>
      </c>
      <c r="Q62" s="11">
        <f t="shared" si="21"/>
        <v>0.39924545478821222</v>
      </c>
      <c r="R62" s="20">
        <f t="shared" si="31"/>
        <v>1</v>
      </c>
      <c r="S62" s="56">
        <v>144.5402</v>
      </c>
      <c r="T62" s="56">
        <v>140.33370130323769</v>
      </c>
      <c r="U62" s="56">
        <v>106.30332947420158</v>
      </c>
      <c r="V62" s="20">
        <f t="shared" si="32"/>
        <v>141.64393910628658</v>
      </c>
      <c r="W62" s="20">
        <f t="shared" ref="W62:W63" si="33">W61</f>
        <v>145.2612807601684</v>
      </c>
      <c r="X62" s="36"/>
      <c r="Y62" s="26"/>
      <c r="Z62" s="26"/>
      <c r="AA62" s="26"/>
      <c r="AB62" s="36"/>
      <c r="AC62" s="29"/>
      <c r="AD62" s="29"/>
      <c r="AE62" s="29"/>
      <c r="AF62" s="29"/>
      <c r="AG62" s="29"/>
      <c r="AH62" s="29"/>
      <c r="AI62" s="26"/>
      <c r="AJ62" s="26"/>
      <c r="AK62" s="26"/>
      <c r="AL62" s="26"/>
      <c r="AM62" s="26"/>
      <c r="AN62" s="26"/>
      <c r="AW62" s="5"/>
    </row>
    <row r="63" spans="1:49" x14ac:dyDescent="0.35">
      <c r="A63" s="79">
        <v>1</v>
      </c>
      <c r="B63" s="79">
        <v>41</v>
      </c>
      <c r="C63" s="16" t="str">
        <f t="shared" si="26"/>
        <v>Wed</v>
      </c>
      <c r="D63" s="12">
        <v>44713</v>
      </c>
      <c r="E63">
        <f t="shared" si="23"/>
        <v>85</v>
      </c>
      <c r="F63" s="61">
        <f t="shared" si="14"/>
        <v>168</v>
      </c>
      <c r="G63" s="61">
        <f t="shared" si="27"/>
        <v>37</v>
      </c>
      <c r="H63" s="61">
        <f t="shared" si="15"/>
        <v>41</v>
      </c>
      <c r="I63" s="61">
        <f t="shared" si="16"/>
        <v>9</v>
      </c>
      <c r="J63" s="61">
        <f t="shared" si="17"/>
        <v>0</v>
      </c>
      <c r="K63" s="11">
        <f t="shared" si="18"/>
        <v>0.50595238095238093</v>
      </c>
      <c r="L63" s="11">
        <f t="shared" si="28"/>
        <v>0.12291073675611371</v>
      </c>
      <c r="M63" s="11">
        <f t="shared" si="19"/>
        <v>0.36904761904761907</v>
      </c>
      <c r="N63" s="11">
        <f t="shared" si="29"/>
        <v>0.27939508164904153</v>
      </c>
      <c r="O63" s="11">
        <f t="shared" si="20"/>
        <v>0</v>
      </c>
      <c r="P63" s="11">
        <f t="shared" si="30"/>
        <v>0</v>
      </c>
      <c r="Q63" s="11">
        <f t="shared" si="21"/>
        <v>0.40230581840515522</v>
      </c>
      <c r="R63" s="20">
        <f t="shared" si="31"/>
        <v>1</v>
      </c>
      <c r="S63" s="56">
        <v>141.649396</v>
      </c>
      <c r="T63" s="56">
        <v>137.52702727717295</v>
      </c>
      <c r="U63" s="56">
        <v>104.17726288471755</v>
      </c>
      <c r="V63" s="20">
        <f t="shared" si="32"/>
        <v>138.78647557178539</v>
      </c>
      <c r="W63" s="20">
        <f t="shared" si="33"/>
        <v>145.2612807601684</v>
      </c>
      <c r="X63" s="36"/>
      <c r="Y63" s="26"/>
      <c r="Z63" s="26"/>
      <c r="AA63" s="26"/>
      <c r="AB63" s="36"/>
      <c r="AC63" s="29"/>
      <c r="AD63" s="29"/>
      <c r="AE63" s="29"/>
      <c r="AF63" s="29"/>
      <c r="AG63" s="29"/>
      <c r="AH63" s="29"/>
      <c r="AI63" s="26"/>
      <c r="AJ63" s="26"/>
      <c r="AK63" s="26"/>
      <c r="AL63" s="26"/>
      <c r="AM63" s="26"/>
      <c r="AN63" s="26"/>
      <c r="AW63" s="5"/>
    </row>
    <row r="64" spans="1:49" x14ac:dyDescent="0.35">
      <c r="A64" s="79">
        <v>1</v>
      </c>
      <c r="B64" s="79">
        <v>42</v>
      </c>
      <c r="C64" s="16" t="str">
        <f t="shared" si="26"/>
        <v>Mon</v>
      </c>
      <c r="D64" s="12">
        <v>44718</v>
      </c>
      <c r="E64">
        <f t="shared" si="23"/>
        <v>84</v>
      </c>
      <c r="F64" s="61">
        <f t="shared" si="14"/>
        <v>168</v>
      </c>
      <c r="G64" s="61">
        <f t="shared" si="27"/>
        <v>37</v>
      </c>
      <c r="H64" s="61">
        <f t="shared" si="15"/>
        <v>42</v>
      </c>
      <c r="I64" s="61">
        <f t="shared" si="16"/>
        <v>10</v>
      </c>
      <c r="J64" s="61">
        <f t="shared" si="17"/>
        <v>0</v>
      </c>
      <c r="K64" s="11">
        <f t="shared" si="18"/>
        <v>0.5</v>
      </c>
      <c r="L64" s="11">
        <f t="shared" si="28"/>
        <v>0.12146472808839473</v>
      </c>
      <c r="M64" s="11">
        <f t="shared" si="19"/>
        <v>0.375</v>
      </c>
      <c r="N64" s="11">
        <f t="shared" si="29"/>
        <v>0.28390145393370347</v>
      </c>
      <c r="O64" s="11">
        <f t="shared" si="20"/>
        <v>0</v>
      </c>
      <c r="P64" s="11">
        <f t="shared" si="30"/>
        <v>0</v>
      </c>
      <c r="Q64" s="11">
        <f t="shared" si="21"/>
        <v>0.40536618202209818</v>
      </c>
      <c r="R64" s="20">
        <f t="shared" si="31"/>
        <v>1</v>
      </c>
      <c r="S64" s="56">
        <v>138.81640808</v>
      </c>
      <c r="T64" s="56">
        <v>134.77648673162949</v>
      </c>
      <c r="U64" s="56">
        <v>102.0937176270232</v>
      </c>
      <c r="V64" s="20">
        <f t="shared" si="32"/>
        <v>135.98701679023111</v>
      </c>
      <c r="W64" s="20">
        <f>AVERAGE(V61:V63)</f>
        <v>141.66368011493566</v>
      </c>
      <c r="X64" s="36"/>
      <c r="Y64" s="26"/>
      <c r="Z64" s="26"/>
      <c r="AA64" s="26"/>
      <c r="AB64" s="36"/>
      <c r="AC64" s="29"/>
      <c r="AD64" s="29"/>
      <c r="AE64" s="29"/>
      <c r="AF64" s="29"/>
      <c r="AG64" s="29"/>
      <c r="AH64" s="29"/>
      <c r="AI64" s="26"/>
      <c r="AJ64" s="26"/>
      <c r="AK64" s="26"/>
      <c r="AL64" s="26"/>
      <c r="AM64" s="26"/>
      <c r="AN64" s="26"/>
      <c r="AW64" s="5"/>
    </row>
    <row r="65" spans="1:49" x14ac:dyDescent="0.35">
      <c r="A65" s="79">
        <v>1</v>
      </c>
      <c r="B65" s="79">
        <v>43</v>
      </c>
      <c r="C65" s="16" t="str">
        <f t="shared" si="26"/>
        <v>Tue</v>
      </c>
      <c r="D65" s="12">
        <v>44719</v>
      </c>
      <c r="E65">
        <f t="shared" si="23"/>
        <v>83</v>
      </c>
      <c r="F65" s="61">
        <f t="shared" si="14"/>
        <v>168</v>
      </c>
      <c r="G65" s="61">
        <f t="shared" si="27"/>
        <v>37</v>
      </c>
      <c r="H65" s="61">
        <f t="shared" si="15"/>
        <v>43</v>
      </c>
      <c r="I65" s="61">
        <f t="shared" si="16"/>
        <v>11</v>
      </c>
      <c r="J65" s="61">
        <f t="shared" si="17"/>
        <v>0</v>
      </c>
      <c r="K65" s="11">
        <f t="shared" si="18"/>
        <v>0.49404761904761907</v>
      </c>
      <c r="L65" s="11">
        <f t="shared" si="28"/>
        <v>0.12001871942067575</v>
      </c>
      <c r="M65" s="11">
        <f t="shared" si="19"/>
        <v>0.38095238095238093</v>
      </c>
      <c r="N65" s="11">
        <f t="shared" si="29"/>
        <v>0.28840782621836542</v>
      </c>
      <c r="O65" s="11">
        <f t="shared" si="20"/>
        <v>0</v>
      </c>
      <c r="P65" s="11">
        <f t="shared" si="30"/>
        <v>0</v>
      </c>
      <c r="Q65" s="11">
        <f t="shared" si="21"/>
        <v>0.40842654563904118</v>
      </c>
      <c r="R65" s="20">
        <f t="shared" si="31"/>
        <v>1</v>
      </c>
      <c r="S65" s="56">
        <v>136.04007991840001</v>
      </c>
      <c r="T65" s="56">
        <v>132.08095699699689</v>
      </c>
      <c r="U65" s="56">
        <v>100.05184327448274</v>
      </c>
      <c r="V65" s="20">
        <f t="shared" si="32"/>
        <v>133.24437026709268</v>
      </c>
      <c r="W65" s="20">
        <f>W64</f>
        <v>141.66368011493566</v>
      </c>
      <c r="X65" s="36"/>
      <c r="Y65" s="26"/>
      <c r="Z65" s="26"/>
      <c r="AA65" s="26"/>
      <c r="AB65" s="36"/>
      <c r="AC65" s="29"/>
      <c r="AD65" s="29"/>
      <c r="AE65" s="29"/>
      <c r="AF65" s="29"/>
      <c r="AG65" s="29"/>
      <c r="AH65" s="29"/>
      <c r="AI65" s="26"/>
      <c r="AJ65" s="26"/>
      <c r="AK65" s="26"/>
      <c r="AL65" s="26"/>
      <c r="AM65" s="26"/>
      <c r="AN65" s="26"/>
      <c r="AW65" s="5"/>
    </row>
    <row r="66" spans="1:49" x14ac:dyDescent="0.35">
      <c r="A66" s="79">
        <v>1</v>
      </c>
      <c r="B66" s="79">
        <v>44</v>
      </c>
      <c r="C66" s="16" t="str">
        <f t="shared" si="26"/>
        <v>Wed</v>
      </c>
      <c r="D66" s="12">
        <v>44720</v>
      </c>
      <c r="E66">
        <f t="shared" si="23"/>
        <v>82</v>
      </c>
      <c r="F66" s="61">
        <f t="shared" si="14"/>
        <v>168</v>
      </c>
      <c r="G66" s="61">
        <f t="shared" si="27"/>
        <v>37</v>
      </c>
      <c r="H66" s="61">
        <f t="shared" si="15"/>
        <v>44</v>
      </c>
      <c r="I66" s="61">
        <f t="shared" si="16"/>
        <v>12</v>
      </c>
      <c r="J66" s="61">
        <f t="shared" si="17"/>
        <v>0</v>
      </c>
      <c r="K66" s="11">
        <f t="shared" si="18"/>
        <v>0.48809523809523808</v>
      </c>
      <c r="L66" s="11">
        <f t="shared" si="28"/>
        <v>0.11857271075295675</v>
      </c>
      <c r="M66" s="11">
        <f t="shared" si="19"/>
        <v>0.38690476190476192</v>
      </c>
      <c r="N66" s="11">
        <f t="shared" si="29"/>
        <v>0.29291419850302741</v>
      </c>
      <c r="O66" s="11">
        <f t="shared" si="20"/>
        <v>0</v>
      </c>
      <c r="P66" s="11">
        <f t="shared" si="30"/>
        <v>0</v>
      </c>
      <c r="Q66" s="11">
        <f t="shared" si="21"/>
        <v>0.41148690925598419</v>
      </c>
      <c r="R66" s="20">
        <f t="shared" si="31"/>
        <v>1</v>
      </c>
      <c r="S66" s="56">
        <v>133.319278320032</v>
      </c>
      <c r="T66" s="56">
        <v>129.43933785705696</v>
      </c>
      <c r="U66" s="56">
        <v>98.050806408993083</v>
      </c>
      <c r="V66" s="20">
        <f t="shared" si="32"/>
        <v>130.55736870544254</v>
      </c>
      <c r="W66" s="20">
        <f t="shared" ref="W66:W68" si="34">W65</f>
        <v>141.66368011493566</v>
      </c>
      <c r="X66" s="36"/>
      <c r="Y66" s="26"/>
      <c r="Z66" s="26"/>
      <c r="AA66" s="26"/>
      <c r="AB66" s="36"/>
      <c r="AC66" s="29"/>
      <c r="AD66" s="29"/>
      <c r="AE66" s="29"/>
      <c r="AF66" s="29"/>
      <c r="AG66" s="29"/>
      <c r="AH66" s="29"/>
      <c r="AI66" s="26"/>
      <c r="AJ66" s="26"/>
      <c r="AK66" s="26"/>
      <c r="AL66" s="26"/>
      <c r="AM66" s="26"/>
      <c r="AN66" s="26"/>
      <c r="AW66" s="5"/>
    </row>
    <row r="67" spans="1:49" x14ac:dyDescent="0.35">
      <c r="A67" s="79">
        <v>1</v>
      </c>
      <c r="B67" s="79">
        <v>45</v>
      </c>
      <c r="C67" s="16" t="str">
        <f t="shared" si="26"/>
        <v>Thu</v>
      </c>
      <c r="D67" s="12">
        <v>44721</v>
      </c>
      <c r="E67">
        <f t="shared" si="23"/>
        <v>81</v>
      </c>
      <c r="F67" s="61">
        <f t="shared" si="14"/>
        <v>168</v>
      </c>
      <c r="G67" s="61">
        <f t="shared" si="27"/>
        <v>37</v>
      </c>
      <c r="H67" s="61">
        <f t="shared" si="15"/>
        <v>45</v>
      </c>
      <c r="I67" s="61">
        <f t="shared" si="16"/>
        <v>13</v>
      </c>
      <c r="J67" s="61">
        <f t="shared" si="17"/>
        <v>0</v>
      </c>
      <c r="K67" s="11">
        <f t="shared" si="18"/>
        <v>0.48214285714285715</v>
      </c>
      <c r="L67" s="11">
        <f t="shared" si="28"/>
        <v>0.11712670208523777</v>
      </c>
      <c r="M67" s="11">
        <f t="shared" si="19"/>
        <v>0.39285714285714285</v>
      </c>
      <c r="N67" s="11">
        <f t="shared" si="29"/>
        <v>0.29742057078768935</v>
      </c>
      <c r="O67" s="11">
        <f t="shared" si="20"/>
        <v>0</v>
      </c>
      <c r="P67" s="11">
        <f t="shared" si="30"/>
        <v>0</v>
      </c>
      <c r="Q67" s="11">
        <f t="shared" si="21"/>
        <v>0.41454727287292714</v>
      </c>
      <c r="R67" s="20">
        <f t="shared" si="31"/>
        <v>1</v>
      </c>
      <c r="S67" s="56">
        <v>130.65289275363136</v>
      </c>
      <c r="T67" s="56">
        <v>126.85055109991582</v>
      </c>
      <c r="U67" s="56">
        <v>96.089790280813219</v>
      </c>
      <c r="V67" s="20">
        <f t="shared" si="32"/>
        <v>127.92486944005249</v>
      </c>
      <c r="W67" s="20">
        <f t="shared" si="34"/>
        <v>141.66368011493566</v>
      </c>
      <c r="X67" s="36"/>
      <c r="Y67" s="26"/>
      <c r="Z67" s="26"/>
      <c r="AA67" s="26"/>
      <c r="AB67" s="36"/>
      <c r="AC67" s="29"/>
      <c r="AD67" s="29"/>
      <c r="AE67" s="29"/>
      <c r="AF67" s="29"/>
      <c r="AG67" s="29"/>
      <c r="AH67" s="29"/>
      <c r="AI67" s="26"/>
      <c r="AJ67" s="26"/>
      <c r="AK67" s="26"/>
      <c r="AL67" s="26"/>
      <c r="AM67" s="26"/>
      <c r="AN67" s="26"/>
      <c r="AW67" s="5"/>
    </row>
    <row r="68" spans="1:49" x14ac:dyDescent="0.35">
      <c r="A68" s="79">
        <v>1</v>
      </c>
      <c r="B68" s="79">
        <v>46</v>
      </c>
      <c r="C68" s="16" t="str">
        <f t="shared" si="26"/>
        <v>Fri</v>
      </c>
      <c r="D68" s="12">
        <v>44722</v>
      </c>
      <c r="E68">
        <f t="shared" si="23"/>
        <v>80</v>
      </c>
      <c r="F68" s="61">
        <f t="shared" si="14"/>
        <v>168</v>
      </c>
      <c r="G68" s="61">
        <f t="shared" si="27"/>
        <v>37</v>
      </c>
      <c r="H68" s="61">
        <f t="shared" si="15"/>
        <v>46</v>
      </c>
      <c r="I68" s="61">
        <f t="shared" si="16"/>
        <v>14</v>
      </c>
      <c r="J68" s="61">
        <f t="shared" si="17"/>
        <v>0</v>
      </c>
      <c r="K68" s="11">
        <f t="shared" si="18"/>
        <v>0.47619047619047616</v>
      </c>
      <c r="L68" s="11">
        <f t="shared" si="28"/>
        <v>0.11568069341751878</v>
      </c>
      <c r="M68" s="11">
        <f t="shared" si="19"/>
        <v>0.39880952380952384</v>
      </c>
      <c r="N68" s="11">
        <f t="shared" si="29"/>
        <v>0.30192694307235135</v>
      </c>
      <c r="O68" s="11">
        <f t="shared" si="20"/>
        <v>0</v>
      </c>
      <c r="P68" s="11">
        <f t="shared" si="30"/>
        <v>0</v>
      </c>
      <c r="Q68" s="11">
        <f t="shared" si="21"/>
        <v>0.41760763648987015</v>
      </c>
      <c r="R68" s="20">
        <f t="shared" si="31"/>
        <v>1</v>
      </c>
      <c r="S68" s="56">
        <v>128.03983489855872</v>
      </c>
      <c r="T68" s="56">
        <v>124.31354007791751</v>
      </c>
      <c r="U68" s="56">
        <v>94.167994475196949</v>
      </c>
      <c r="V68" s="20">
        <f t="shared" si="32"/>
        <v>125.34575388596251</v>
      </c>
      <c r="W68" s="20">
        <f t="shared" si="34"/>
        <v>141.66368011493566</v>
      </c>
      <c r="X68" s="36"/>
      <c r="Y68" s="26"/>
      <c r="Z68" s="26"/>
      <c r="AA68" s="26"/>
      <c r="AB68" s="36"/>
      <c r="AC68" s="29"/>
      <c r="AD68" s="29"/>
      <c r="AE68" s="29"/>
      <c r="AF68" s="29"/>
      <c r="AG68" s="29"/>
      <c r="AH68" s="29"/>
      <c r="AI68" s="26"/>
      <c r="AJ68" s="26"/>
      <c r="AK68" s="26"/>
      <c r="AL68" s="26"/>
      <c r="AM68" s="26"/>
      <c r="AN68" s="26"/>
      <c r="AW68" s="5"/>
    </row>
    <row r="69" spans="1:49" x14ac:dyDescent="0.35">
      <c r="A69" s="79">
        <v>1</v>
      </c>
      <c r="B69" s="79">
        <v>47</v>
      </c>
      <c r="C69" s="16" t="str">
        <f t="shared" si="26"/>
        <v>Mon</v>
      </c>
      <c r="D69" s="12">
        <v>44725</v>
      </c>
      <c r="E69">
        <f t="shared" si="23"/>
        <v>79</v>
      </c>
      <c r="F69" s="61">
        <f t="shared" si="14"/>
        <v>168</v>
      </c>
      <c r="G69" s="61">
        <f t="shared" si="27"/>
        <v>37</v>
      </c>
      <c r="H69" s="61">
        <f t="shared" si="15"/>
        <v>47</v>
      </c>
      <c r="I69" s="61">
        <f t="shared" si="16"/>
        <v>15</v>
      </c>
      <c r="J69" s="61">
        <f t="shared" si="17"/>
        <v>0</v>
      </c>
      <c r="K69" s="11">
        <f t="shared" si="18"/>
        <v>0.47023809523809523</v>
      </c>
      <c r="L69" s="11">
        <f t="shared" si="28"/>
        <v>0.11423468474979981</v>
      </c>
      <c r="M69" s="11">
        <f t="shared" si="19"/>
        <v>0.40476190476190477</v>
      </c>
      <c r="N69" s="11">
        <f t="shared" si="29"/>
        <v>0.30643331535701329</v>
      </c>
      <c r="O69" s="11">
        <f t="shared" si="20"/>
        <v>0</v>
      </c>
      <c r="P69" s="11">
        <f t="shared" si="30"/>
        <v>0</v>
      </c>
      <c r="Q69" s="11">
        <f t="shared" si="21"/>
        <v>0.4206680001068131</v>
      </c>
      <c r="R69" s="20">
        <f t="shared" si="31"/>
        <v>1</v>
      </c>
      <c r="S69" s="56">
        <v>125.47903820058755</v>
      </c>
      <c r="T69" s="56">
        <v>121.82726927635916</v>
      </c>
      <c r="U69" s="56">
        <v>92.284634585693013</v>
      </c>
      <c r="V69" s="20">
        <f t="shared" si="32"/>
        <v>122.81892700105516</v>
      </c>
      <c r="W69" s="20">
        <f>AVERAGE(V64:V68)</f>
        <v>130.61187581775624</v>
      </c>
      <c r="X69" s="36"/>
      <c r="Y69" s="26"/>
      <c r="Z69" s="26"/>
      <c r="AA69" s="26"/>
      <c r="AB69" s="36"/>
      <c r="AC69" s="29"/>
      <c r="AD69" s="29"/>
      <c r="AE69" s="29"/>
      <c r="AF69" s="29"/>
      <c r="AG69" s="29"/>
      <c r="AH69" s="29"/>
      <c r="AI69" s="26"/>
      <c r="AJ69" s="26"/>
      <c r="AK69" s="26"/>
      <c r="AL69" s="26"/>
      <c r="AM69" s="26"/>
      <c r="AN69" s="26"/>
      <c r="AW69" s="5"/>
    </row>
    <row r="70" spans="1:49" x14ac:dyDescent="0.35">
      <c r="A70" s="79">
        <v>1</v>
      </c>
      <c r="B70" s="79">
        <v>48</v>
      </c>
      <c r="C70" s="16" t="str">
        <f t="shared" si="26"/>
        <v>Tue</v>
      </c>
      <c r="D70" s="12">
        <v>44726</v>
      </c>
      <c r="E70">
        <f t="shared" si="23"/>
        <v>78</v>
      </c>
      <c r="F70" s="61">
        <f t="shared" si="14"/>
        <v>168</v>
      </c>
      <c r="G70" s="61">
        <f t="shared" si="27"/>
        <v>37</v>
      </c>
      <c r="H70" s="61">
        <f t="shared" si="15"/>
        <v>48</v>
      </c>
      <c r="I70" s="61">
        <f t="shared" si="16"/>
        <v>16</v>
      </c>
      <c r="J70" s="61">
        <f t="shared" si="17"/>
        <v>0</v>
      </c>
      <c r="K70" s="11">
        <f t="shared" si="18"/>
        <v>0.4642857142857143</v>
      </c>
      <c r="L70" s="11">
        <f t="shared" si="28"/>
        <v>0.11278867608208082</v>
      </c>
      <c r="M70" s="11">
        <f t="shared" si="19"/>
        <v>0.4107142857142857</v>
      </c>
      <c r="N70" s="11">
        <f t="shared" si="29"/>
        <v>0.31093968764167523</v>
      </c>
      <c r="O70" s="11">
        <f t="shared" si="20"/>
        <v>0</v>
      </c>
      <c r="P70" s="11">
        <f t="shared" si="30"/>
        <v>0</v>
      </c>
      <c r="Q70" s="11">
        <f t="shared" si="21"/>
        <v>0.42372836372375605</v>
      </c>
      <c r="R70" s="20">
        <f t="shared" si="31"/>
        <v>1</v>
      </c>
      <c r="S70" s="56">
        <v>122.96945743657581</v>
      </c>
      <c r="T70" s="56">
        <v>119.39072389083198</v>
      </c>
      <c r="U70" s="56">
        <v>90.438941893979148</v>
      </c>
      <c r="V70" s="20">
        <f t="shared" si="32"/>
        <v>120.34331676218889</v>
      </c>
      <c r="W70" s="20">
        <f>W69</f>
        <v>130.61187581775624</v>
      </c>
      <c r="X70" s="36"/>
      <c r="Y70" s="26"/>
      <c r="Z70" s="26"/>
      <c r="AA70" s="26"/>
      <c r="AB70" s="36"/>
      <c r="AC70" s="29"/>
      <c r="AD70" s="29"/>
      <c r="AE70" s="29"/>
      <c r="AF70" s="29"/>
      <c r="AG70" s="29"/>
      <c r="AH70" s="29"/>
      <c r="AI70" s="26"/>
      <c r="AJ70" s="26"/>
      <c r="AK70" s="26"/>
      <c r="AL70" s="26"/>
      <c r="AM70" s="26"/>
      <c r="AN70" s="26"/>
      <c r="AW70" s="5"/>
    </row>
    <row r="71" spans="1:49" x14ac:dyDescent="0.35">
      <c r="A71" s="79">
        <v>1</v>
      </c>
      <c r="B71" s="79">
        <v>49</v>
      </c>
      <c r="C71" s="16" t="str">
        <f t="shared" si="26"/>
        <v>Wed</v>
      </c>
      <c r="D71" s="12">
        <v>44727</v>
      </c>
      <c r="E71">
        <f t="shared" si="23"/>
        <v>77</v>
      </c>
      <c r="F71" s="61">
        <f t="shared" si="14"/>
        <v>168</v>
      </c>
      <c r="G71" s="61">
        <f t="shared" si="27"/>
        <v>37</v>
      </c>
      <c r="H71" s="61">
        <f t="shared" si="15"/>
        <v>49</v>
      </c>
      <c r="I71" s="61">
        <f t="shared" si="16"/>
        <v>17</v>
      </c>
      <c r="J71" s="61">
        <f t="shared" si="17"/>
        <v>0</v>
      </c>
      <c r="K71" s="11">
        <f t="shared" si="18"/>
        <v>0.45833333333333331</v>
      </c>
      <c r="L71" s="11">
        <f t="shared" si="28"/>
        <v>0.11134266741436183</v>
      </c>
      <c r="M71" s="11">
        <f t="shared" si="19"/>
        <v>0.41666666666666669</v>
      </c>
      <c r="N71" s="11">
        <f t="shared" si="29"/>
        <v>0.31544605992633723</v>
      </c>
      <c r="O71" s="11">
        <f t="shared" si="20"/>
        <v>0</v>
      </c>
      <c r="P71" s="11">
        <f t="shared" si="30"/>
        <v>0</v>
      </c>
      <c r="Q71" s="11">
        <f t="shared" si="21"/>
        <v>0.42678872734069906</v>
      </c>
      <c r="R71" s="20">
        <f t="shared" si="31"/>
        <v>1</v>
      </c>
      <c r="S71" s="56">
        <v>120.51006828784429</v>
      </c>
      <c r="T71" s="56">
        <v>117.00290941301535</v>
      </c>
      <c r="U71" s="56">
        <v>88.630163056099562</v>
      </c>
      <c r="V71" s="20">
        <f t="shared" si="32"/>
        <v>117.91787365446233</v>
      </c>
      <c r="W71" s="20">
        <f t="shared" ref="W71:W73" si="35">W70</f>
        <v>130.61187581775624</v>
      </c>
      <c r="X71" s="36"/>
      <c r="Y71" s="26"/>
      <c r="Z71" s="26"/>
      <c r="AA71" s="26"/>
      <c r="AB71" s="36"/>
      <c r="AC71" s="29"/>
      <c r="AD71" s="29"/>
      <c r="AE71" s="29"/>
      <c r="AF71" s="29"/>
      <c r="AG71" s="29"/>
      <c r="AH71" s="29"/>
      <c r="AI71" s="26"/>
      <c r="AJ71" s="26"/>
      <c r="AK71" s="26"/>
      <c r="AL71" s="26"/>
      <c r="AM71" s="26"/>
      <c r="AN71" s="26"/>
      <c r="AW71" s="5"/>
    </row>
    <row r="72" spans="1:49" x14ac:dyDescent="0.35">
      <c r="A72" s="79">
        <v>1</v>
      </c>
      <c r="B72" s="79">
        <v>50</v>
      </c>
      <c r="C72" s="16" t="str">
        <f t="shared" si="26"/>
        <v>Thu</v>
      </c>
      <c r="D72" s="12">
        <v>44728</v>
      </c>
      <c r="E72">
        <f t="shared" si="23"/>
        <v>76</v>
      </c>
      <c r="F72" s="61">
        <f t="shared" si="14"/>
        <v>168</v>
      </c>
      <c r="G72" s="61">
        <f t="shared" si="27"/>
        <v>37</v>
      </c>
      <c r="H72" s="61">
        <f t="shared" si="15"/>
        <v>50</v>
      </c>
      <c r="I72" s="61">
        <f t="shared" si="16"/>
        <v>18</v>
      </c>
      <c r="J72" s="61">
        <f t="shared" si="17"/>
        <v>0</v>
      </c>
      <c r="K72" s="11">
        <f t="shared" si="18"/>
        <v>0.45238095238095238</v>
      </c>
      <c r="L72" s="11">
        <f t="shared" si="28"/>
        <v>0.10989665874664285</v>
      </c>
      <c r="M72" s="11">
        <f t="shared" si="19"/>
        <v>0.42261904761904762</v>
      </c>
      <c r="N72" s="11">
        <f t="shared" si="29"/>
        <v>0.31995243221099917</v>
      </c>
      <c r="O72" s="11">
        <f t="shared" si="20"/>
        <v>0</v>
      </c>
      <c r="P72" s="11">
        <f t="shared" si="30"/>
        <v>0</v>
      </c>
      <c r="Q72" s="11">
        <f t="shared" si="21"/>
        <v>0.42984909095764201</v>
      </c>
      <c r="R72" s="20">
        <f t="shared" si="31"/>
        <v>1</v>
      </c>
      <c r="S72" s="56">
        <v>118.0998669220874</v>
      </c>
      <c r="T72" s="56">
        <v>114.66285122475504</v>
      </c>
      <c r="U72" s="56">
        <v>86.857559794977576</v>
      </c>
      <c r="V72" s="20">
        <f t="shared" si="32"/>
        <v>115.54157017320063</v>
      </c>
      <c r="W72" s="20">
        <f t="shared" si="35"/>
        <v>130.61187581775624</v>
      </c>
      <c r="X72" s="36"/>
      <c r="Y72" s="26"/>
      <c r="Z72" s="26"/>
      <c r="AA72" s="26"/>
      <c r="AB72" s="36"/>
      <c r="AC72" s="29"/>
      <c r="AD72" s="29"/>
      <c r="AE72" s="29"/>
      <c r="AF72" s="29"/>
      <c r="AG72" s="29"/>
      <c r="AH72" s="29"/>
      <c r="AI72" s="26"/>
      <c r="AJ72" s="26"/>
      <c r="AK72" s="26"/>
      <c r="AL72" s="26"/>
      <c r="AM72" s="26"/>
      <c r="AN72" s="26"/>
      <c r="AW72" s="5"/>
    </row>
    <row r="73" spans="1:49" x14ac:dyDescent="0.35">
      <c r="A73" s="79">
        <v>1</v>
      </c>
      <c r="B73" s="79">
        <v>51</v>
      </c>
      <c r="C73" s="16" t="str">
        <f t="shared" si="26"/>
        <v>Fri</v>
      </c>
      <c r="D73" s="12">
        <v>44729</v>
      </c>
      <c r="E73">
        <f t="shared" si="23"/>
        <v>75</v>
      </c>
      <c r="F73" s="61">
        <f t="shared" si="14"/>
        <v>168</v>
      </c>
      <c r="G73" s="61">
        <f t="shared" si="27"/>
        <v>37</v>
      </c>
      <c r="H73" s="61">
        <f t="shared" si="15"/>
        <v>51</v>
      </c>
      <c r="I73" s="61">
        <f t="shared" si="16"/>
        <v>19</v>
      </c>
      <c r="J73" s="61">
        <f t="shared" si="17"/>
        <v>0</v>
      </c>
      <c r="K73" s="11">
        <f t="shared" si="18"/>
        <v>0.44642857142857145</v>
      </c>
      <c r="L73" s="11">
        <f t="shared" si="28"/>
        <v>0.10845065007892388</v>
      </c>
      <c r="M73" s="11">
        <f t="shared" si="19"/>
        <v>0.42857142857142855</v>
      </c>
      <c r="N73" s="11">
        <f t="shared" si="29"/>
        <v>0.32445880449566111</v>
      </c>
      <c r="O73" s="11">
        <f t="shared" si="20"/>
        <v>0</v>
      </c>
      <c r="P73" s="11">
        <f t="shared" si="30"/>
        <v>0</v>
      </c>
      <c r="Q73" s="11">
        <f t="shared" si="21"/>
        <v>0.43290945457458496</v>
      </c>
      <c r="R73" s="20">
        <f t="shared" si="31"/>
        <v>1</v>
      </c>
      <c r="S73" s="56">
        <v>115.73786958364565</v>
      </c>
      <c r="T73" s="56">
        <v>112.36959420025994</v>
      </c>
      <c r="U73" s="56">
        <v>85.120408599078019</v>
      </c>
      <c r="V73" s="20">
        <f t="shared" si="32"/>
        <v>113.21340033827092</v>
      </c>
      <c r="W73" s="20">
        <f t="shared" si="35"/>
        <v>130.61187581775624</v>
      </c>
      <c r="X73" s="36"/>
      <c r="Y73" s="26"/>
      <c r="Z73" s="26"/>
      <c r="AA73" s="26"/>
      <c r="AB73" s="36"/>
      <c r="AC73" s="29"/>
      <c r="AD73" s="29"/>
      <c r="AE73" s="29"/>
      <c r="AF73" s="29"/>
      <c r="AG73" s="29"/>
      <c r="AH73" s="29"/>
      <c r="AI73" s="26"/>
      <c r="AJ73" s="26"/>
      <c r="AK73" s="26"/>
      <c r="AL73" s="26"/>
      <c r="AM73" s="26"/>
      <c r="AN73" s="26"/>
      <c r="AW73" s="5"/>
    </row>
    <row r="74" spans="1:49" x14ac:dyDescent="0.35">
      <c r="A74" s="79">
        <v>1</v>
      </c>
      <c r="B74" s="79">
        <v>52</v>
      </c>
      <c r="C74" s="16" t="str">
        <f t="shared" si="26"/>
        <v>Mon</v>
      </c>
      <c r="D74" s="12">
        <v>44732</v>
      </c>
      <c r="E74">
        <f t="shared" si="23"/>
        <v>74</v>
      </c>
      <c r="F74" s="61">
        <f t="shared" si="14"/>
        <v>168</v>
      </c>
      <c r="G74" s="61">
        <f t="shared" si="27"/>
        <v>37</v>
      </c>
      <c r="H74" s="61">
        <f t="shared" si="15"/>
        <v>52</v>
      </c>
      <c r="I74" s="61">
        <f t="shared" si="16"/>
        <v>20</v>
      </c>
      <c r="J74" s="61">
        <f t="shared" si="17"/>
        <v>0</v>
      </c>
      <c r="K74" s="11">
        <f t="shared" si="18"/>
        <v>0.44047619047619047</v>
      </c>
      <c r="L74" s="11">
        <f t="shared" si="28"/>
        <v>0.10700464141120487</v>
      </c>
      <c r="M74" s="11">
        <f t="shared" si="19"/>
        <v>0.43452380952380953</v>
      </c>
      <c r="N74" s="11">
        <f t="shared" si="29"/>
        <v>0.32896517678032305</v>
      </c>
      <c r="O74" s="11">
        <f t="shared" si="20"/>
        <v>0</v>
      </c>
      <c r="P74" s="11">
        <f t="shared" si="30"/>
        <v>0</v>
      </c>
      <c r="Q74" s="11">
        <f t="shared" si="21"/>
        <v>0.43596981819152791</v>
      </c>
      <c r="R74" s="20">
        <f t="shared" si="31"/>
        <v>1</v>
      </c>
      <c r="S74" s="56">
        <v>113.42311219197273</v>
      </c>
      <c r="T74" s="56">
        <v>110.12220231625474</v>
      </c>
      <c r="U74" s="56">
        <v>83.418000427096459</v>
      </c>
      <c r="V74" s="20">
        <f t="shared" si="32"/>
        <v>110.93237922035119</v>
      </c>
      <c r="W74" s="20">
        <f>AVERAGE(V69:V73)</f>
        <v>117.96701758583558</v>
      </c>
      <c r="X74" s="36"/>
      <c r="Y74" s="26"/>
      <c r="Z74" s="26"/>
      <c r="AA74" s="26"/>
      <c r="AB74" s="36"/>
      <c r="AC74" s="29"/>
      <c r="AD74" s="29"/>
      <c r="AE74" s="29"/>
      <c r="AF74" s="29"/>
      <c r="AG74" s="29"/>
      <c r="AH74" s="29"/>
      <c r="AI74" s="26"/>
      <c r="AJ74" s="26"/>
      <c r="AK74" s="26"/>
      <c r="AL74" s="26"/>
      <c r="AM74" s="26"/>
      <c r="AN74" s="26"/>
      <c r="AW74" s="5"/>
    </row>
    <row r="75" spans="1:49" x14ac:dyDescent="0.35">
      <c r="A75" s="79">
        <v>1</v>
      </c>
      <c r="B75" s="79">
        <v>53</v>
      </c>
      <c r="C75" s="16" t="str">
        <f t="shared" si="26"/>
        <v>Tue</v>
      </c>
      <c r="D75" s="12">
        <v>44733</v>
      </c>
      <c r="E75">
        <f t="shared" si="23"/>
        <v>73</v>
      </c>
      <c r="F75" s="61">
        <f t="shared" si="14"/>
        <v>168</v>
      </c>
      <c r="G75" s="61">
        <f t="shared" si="27"/>
        <v>37</v>
      </c>
      <c r="H75" s="61">
        <f t="shared" si="15"/>
        <v>53</v>
      </c>
      <c r="I75" s="61">
        <f t="shared" si="16"/>
        <v>21</v>
      </c>
      <c r="J75" s="61">
        <f t="shared" si="17"/>
        <v>0</v>
      </c>
      <c r="K75" s="11">
        <f t="shared" si="18"/>
        <v>0.43452380952380953</v>
      </c>
      <c r="L75" s="11">
        <f t="shared" si="28"/>
        <v>0.1055586327434859</v>
      </c>
      <c r="M75" s="11">
        <f t="shared" si="19"/>
        <v>0.44047619047619047</v>
      </c>
      <c r="N75" s="11">
        <f t="shared" si="29"/>
        <v>0.33347154906498505</v>
      </c>
      <c r="O75" s="11">
        <f t="shared" si="20"/>
        <v>0</v>
      </c>
      <c r="P75" s="11">
        <f t="shared" si="30"/>
        <v>0</v>
      </c>
      <c r="Q75" s="11">
        <f t="shared" si="21"/>
        <v>0.43903018180847098</v>
      </c>
      <c r="R75" s="20">
        <f t="shared" si="31"/>
        <v>0.99999999999999989</v>
      </c>
      <c r="S75" s="56">
        <v>111.15464994813328</v>
      </c>
      <c r="T75" s="56">
        <v>107.91975826992964</v>
      </c>
      <c r="U75" s="56">
        <v>81.749640418554534</v>
      </c>
      <c r="V75" s="20">
        <f t="shared" si="32"/>
        <v>108.69754247879166</v>
      </c>
      <c r="W75" s="20">
        <f>W74</f>
        <v>117.96701758583558</v>
      </c>
      <c r="X75" s="36"/>
      <c r="Y75" s="26"/>
      <c r="Z75" s="26"/>
      <c r="AA75" s="26"/>
      <c r="AB75" s="36"/>
      <c r="AC75" s="29"/>
      <c r="AD75" s="29"/>
      <c r="AE75" s="29"/>
      <c r="AF75" s="29"/>
      <c r="AG75" s="29"/>
      <c r="AH75" s="29"/>
      <c r="AI75" s="26"/>
      <c r="AJ75" s="26"/>
      <c r="AK75" s="26"/>
      <c r="AL75" s="26"/>
      <c r="AM75" s="26"/>
      <c r="AN75" s="26"/>
      <c r="AW75" s="5"/>
    </row>
    <row r="76" spans="1:49" x14ac:dyDescent="0.35">
      <c r="A76" s="79">
        <v>1</v>
      </c>
      <c r="B76" s="79">
        <v>54</v>
      </c>
      <c r="C76" s="16" t="str">
        <f t="shared" si="26"/>
        <v>Wed</v>
      </c>
      <c r="D76" s="12">
        <v>44734</v>
      </c>
      <c r="E76">
        <f t="shared" si="23"/>
        <v>72</v>
      </c>
      <c r="F76" s="61">
        <f t="shared" si="14"/>
        <v>168</v>
      </c>
      <c r="G76" s="61">
        <f t="shared" si="27"/>
        <v>37</v>
      </c>
      <c r="H76" s="61">
        <f t="shared" si="15"/>
        <v>54</v>
      </c>
      <c r="I76" s="61">
        <f t="shared" si="16"/>
        <v>22</v>
      </c>
      <c r="J76" s="61">
        <f t="shared" si="17"/>
        <v>0</v>
      </c>
      <c r="K76" s="11">
        <f t="shared" si="18"/>
        <v>0.42857142857142855</v>
      </c>
      <c r="L76" s="11">
        <f t="shared" si="28"/>
        <v>0.10411262407576691</v>
      </c>
      <c r="M76" s="11">
        <f t="shared" si="19"/>
        <v>0.44642857142857145</v>
      </c>
      <c r="N76" s="11">
        <f t="shared" si="29"/>
        <v>0.33797792134964699</v>
      </c>
      <c r="O76" s="11">
        <f t="shared" si="20"/>
        <v>0</v>
      </c>
      <c r="P76" s="11">
        <f t="shared" si="30"/>
        <v>0</v>
      </c>
      <c r="Q76" s="11">
        <f t="shared" si="21"/>
        <v>0.44209054542541393</v>
      </c>
      <c r="R76" s="20">
        <f t="shared" si="31"/>
        <v>1</v>
      </c>
      <c r="S76" s="56">
        <v>108.93155694917061</v>
      </c>
      <c r="T76" s="56">
        <v>105.76136310453106</v>
      </c>
      <c r="U76" s="56">
        <v>80.114647610183439</v>
      </c>
      <c r="V76" s="20">
        <f t="shared" si="32"/>
        <v>106.50794591072216</v>
      </c>
      <c r="W76" s="20">
        <f t="shared" ref="W76:W78" si="36">W75</f>
        <v>117.96701758583558</v>
      </c>
      <c r="X76" s="36"/>
      <c r="Y76" s="26"/>
      <c r="Z76" s="26"/>
      <c r="AA76" s="26"/>
      <c r="AB76" s="36"/>
      <c r="AC76" s="29"/>
      <c r="AD76" s="29"/>
      <c r="AE76" s="29"/>
      <c r="AF76" s="29"/>
      <c r="AG76" s="29"/>
      <c r="AH76" s="29"/>
      <c r="AI76" s="26"/>
      <c r="AJ76" s="26"/>
      <c r="AK76" s="26"/>
      <c r="AL76" s="26"/>
      <c r="AM76" s="26"/>
      <c r="AN76" s="26"/>
      <c r="AW76" s="5"/>
    </row>
    <row r="77" spans="1:49" x14ac:dyDescent="0.35">
      <c r="A77" s="79">
        <v>1</v>
      </c>
      <c r="B77" s="79">
        <v>55</v>
      </c>
      <c r="C77" s="16" t="str">
        <f t="shared" si="26"/>
        <v>Thu</v>
      </c>
      <c r="D77" s="12">
        <v>44735</v>
      </c>
      <c r="E77">
        <f t="shared" si="23"/>
        <v>71</v>
      </c>
      <c r="F77" s="61">
        <f t="shared" si="14"/>
        <v>168</v>
      </c>
      <c r="G77" s="61">
        <f t="shared" si="27"/>
        <v>37</v>
      </c>
      <c r="H77" s="61">
        <f t="shared" si="15"/>
        <v>55</v>
      </c>
      <c r="I77" s="61">
        <f t="shared" si="16"/>
        <v>23</v>
      </c>
      <c r="J77" s="61">
        <f t="shared" si="17"/>
        <v>0</v>
      </c>
      <c r="K77" s="11">
        <f t="shared" si="18"/>
        <v>0.42261904761904762</v>
      </c>
      <c r="L77" s="11">
        <f t="shared" si="28"/>
        <v>0.10266661540804793</v>
      </c>
      <c r="M77" s="11">
        <f t="shared" si="19"/>
        <v>0.45238095238095238</v>
      </c>
      <c r="N77" s="11">
        <f t="shared" si="29"/>
        <v>0.34248429363430893</v>
      </c>
      <c r="O77" s="11">
        <f t="shared" si="20"/>
        <v>0</v>
      </c>
      <c r="P77" s="11">
        <f t="shared" si="30"/>
        <v>0</v>
      </c>
      <c r="Q77" s="11">
        <f t="shared" si="21"/>
        <v>0.44515090904235688</v>
      </c>
      <c r="R77" s="20">
        <f t="shared" si="31"/>
        <v>1</v>
      </c>
      <c r="S77" s="56">
        <v>106.75292581018721</v>
      </c>
      <c r="T77" s="56">
        <v>103.64613584244043</v>
      </c>
      <c r="U77" s="56">
        <v>78.51235465797977</v>
      </c>
      <c r="V77" s="20">
        <f t="shared" si="32"/>
        <v>104.3626650110732</v>
      </c>
      <c r="W77" s="20">
        <f t="shared" si="36"/>
        <v>117.96701758583558</v>
      </c>
      <c r="X77" s="36"/>
      <c r="Y77" s="26"/>
      <c r="Z77" s="26"/>
      <c r="AA77" s="26"/>
      <c r="AB77" s="36"/>
      <c r="AC77" s="29"/>
      <c r="AD77" s="29"/>
      <c r="AE77" s="29"/>
      <c r="AF77" s="29"/>
      <c r="AG77" s="29"/>
      <c r="AH77" s="29"/>
      <c r="AI77" s="26"/>
      <c r="AJ77" s="26"/>
      <c r="AK77" s="26"/>
      <c r="AL77" s="26"/>
      <c r="AM77" s="26"/>
      <c r="AN77" s="26"/>
      <c r="AW77" s="5"/>
    </row>
    <row r="78" spans="1:49" x14ac:dyDescent="0.35">
      <c r="A78" s="79">
        <v>1</v>
      </c>
      <c r="B78" s="79">
        <v>56</v>
      </c>
      <c r="C78" s="16" t="str">
        <f t="shared" si="26"/>
        <v>Fri</v>
      </c>
      <c r="D78" s="12">
        <v>44736</v>
      </c>
      <c r="E78">
        <f t="shared" si="23"/>
        <v>70</v>
      </c>
      <c r="F78" s="61">
        <f t="shared" si="14"/>
        <v>168</v>
      </c>
      <c r="G78" s="61">
        <f t="shared" si="27"/>
        <v>37</v>
      </c>
      <c r="H78" s="61">
        <f t="shared" si="15"/>
        <v>56</v>
      </c>
      <c r="I78" s="61">
        <f t="shared" si="16"/>
        <v>24</v>
      </c>
      <c r="J78" s="61">
        <f t="shared" si="17"/>
        <v>0</v>
      </c>
      <c r="K78" s="11">
        <f t="shared" si="18"/>
        <v>0.41666666666666669</v>
      </c>
      <c r="L78" s="11">
        <f t="shared" si="28"/>
        <v>0.10122060674032894</v>
      </c>
      <c r="M78" s="11">
        <f t="shared" si="19"/>
        <v>0.45833333333333331</v>
      </c>
      <c r="N78" s="11">
        <f t="shared" si="29"/>
        <v>0.34699066591897088</v>
      </c>
      <c r="O78" s="11">
        <f t="shared" si="20"/>
        <v>0</v>
      </c>
      <c r="P78" s="11">
        <f t="shared" si="30"/>
        <v>0</v>
      </c>
      <c r="Q78" s="11">
        <f t="shared" si="21"/>
        <v>0.44821127265929983</v>
      </c>
      <c r="R78" s="20">
        <f t="shared" si="31"/>
        <v>1</v>
      </c>
      <c r="S78" s="56">
        <v>104.61786729398347</v>
      </c>
      <c r="T78" s="56">
        <v>101.57321312559162</v>
      </c>
      <c r="U78" s="56">
        <v>76.942107564820176</v>
      </c>
      <c r="V78" s="20">
        <f t="shared" si="32"/>
        <v>102.26079454319097</v>
      </c>
      <c r="W78" s="20">
        <f t="shared" si="36"/>
        <v>117.96701758583558</v>
      </c>
      <c r="X78" s="36"/>
      <c r="Y78" s="26"/>
      <c r="Z78" s="26"/>
      <c r="AA78" s="26"/>
      <c r="AB78" s="36"/>
      <c r="AC78" s="29"/>
      <c r="AD78" s="29"/>
      <c r="AE78" s="29"/>
      <c r="AF78" s="29"/>
      <c r="AG78" s="29"/>
      <c r="AH78" s="29"/>
      <c r="AI78" s="26"/>
      <c r="AJ78" s="26"/>
      <c r="AK78" s="26"/>
      <c r="AL78" s="26"/>
      <c r="AM78" s="26"/>
      <c r="AN78" s="26"/>
      <c r="AW78" s="5"/>
    </row>
    <row r="79" spans="1:49" x14ac:dyDescent="0.35">
      <c r="A79" s="79">
        <v>1</v>
      </c>
      <c r="B79" s="79">
        <v>57</v>
      </c>
      <c r="C79" s="16" t="str">
        <f t="shared" si="26"/>
        <v>Mon</v>
      </c>
      <c r="D79" s="12">
        <v>44739</v>
      </c>
      <c r="E79">
        <f t="shared" si="23"/>
        <v>69</v>
      </c>
      <c r="F79" s="61">
        <f t="shared" si="14"/>
        <v>168</v>
      </c>
      <c r="G79" s="61">
        <f t="shared" si="27"/>
        <v>37</v>
      </c>
      <c r="H79" s="61">
        <f t="shared" si="15"/>
        <v>57</v>
      </c>
      <c r="I79" s="61">
        <f t="shared" si="16"/>
        <v>25</v>
      </c>
      <c r="J79" s="61">
        <f t="shared" si="17"/>
        <v>0</v>
      </c>
      <c r="K79" s="11">
        <f t="shared" si="18"/>
        <v>0.4107142857142857</v>
      </c>
      <c r="L79" s="11">
        <f t="shared" si="28"/>
        <v>9.9774598072609952E-2</v>
      </c>
      <c r="M79" s="11">
        <f t="shared" si="19"/>
        <v>0.4642857142857143</v>
      </c>
      <c r="N79" s="11">
        <f t="shared" si="29"/>
        <v>0.35149703820363287</v>
      </c>
      <c r="O79" s="11">
        <f t="shared" si="20"/>
        <v>0</v>
      </c>
      <c r="P79" s="11">
        <f t="shared" si="30"/>
        <v>0</v>
      </c>
      <c r="Q79" s="11">
        <f t="shared" si="21"/>
        <v>0.45127163627624284</v>
      </c>
      <c r="R79" s="20">
        <f t="shared" si="31"/>
        <v>1</v>
      </c>
      <c r="S79" s="56">
        <v>102.5255099481038</v>
      </c>
      <c r="T79" s="56">
        <v>99.541748863079789</v>
      </c>
      <c r="U79" s="56">
        <v>75.403265413523769</v>
      </c>
      <c r="V79" s="20">
        <f t="shared" si="32"/>
        <v>100.20144811973933</v>
      </c>
      <c r="W79" s="20">
        <f>AVERAGE(V74:V78)</f>
        <v>106.55226543282583</v>
      </c>
      <c r="X79" s="36"/>
      <c r="Y79" s="26"/>
      <c r="Z79" s="26"/>
      <c r="AA79" s="26"/>
      <c r="AB79" s="36"/>
      <c r="AC79" s="29"/>
      <c r="AD79" s="29"/>
      <c r="AE79" s="29"/>
      <c r="AF79" s="29"/>
      <c r="AG79" s="29"/>
      <c r="AH79" s="29"/>
      <c r="AI79" s="26"/>
      <c r="AJ79" s="26"/>
      <c r="AK79" s="26"/>
      <c r="AL79" s="26"/>
      <c r="AM79" s="26"/>
      <c r="AN79" s="26"/>
      <c r="AW79" s="5"/>
    </row>
    <row r="80" spans="1:49" x14ac:dyDescent="0.35">
      <c r="A80" s="79">
        <v>1</v>
      </c>
      <c r="B80" s="79">
        <v>58</v>
      </c>
      <c r="C80" s="16" t="str">
        <f t="shared" si="26"/>
        <v>Tue</v>
      </c>
      <c r="D80" s="12">
        <v>44740</v>
      </c>
      <c r="E80">
        <f t="shared" si="23"/>
        <v>68</v>
      </c>
      <c r="F80" s="61">
        <f t="shared" si="14"/>
        <v>168</v>
      </c>
      <c r="G80" s="61">
        <f t="shared" si="27"/>
        <v>37</v>
      </c>
      <c r="H80" s="61">
        <f t="shared" si="15"/>
        <v>58</v>
      </c>
      <c r="I80" s="61">
        <f t="shared" si="16"/>
        <v>26</v>
      </c>
      <c r="J80" s="61">
        <f t="shared" si="17"/>
        <v>0</v>
      </c>
      <c r="K80" s="11">
        <f t="shared" si="18"/>
        <v>0.40476190476190477</v>
      </c>
      <c r="L80" s="11">
        <f t="shared" si="28"/>
        <v>9.8328589404890976E-2</v>
      </c>
      <c r="M80" s="11">
        <f t="shared" si="19"/>
        <v>0.47023809523809523</v>
      </c>
      <c r="N80" s="11">
        <f t="shared" si="29"/>
        <v>0.35600341048829481</v>
      </c>
      <c r="O80" s="11">
        <f t="shared" si="20"/>
        <v>0</v>
      </c>
      <c r="P80" s="11">
        <f t="shared" si="30"/>
        <v>0</v>
      </c>
      <c r="Q80" s="11">
        <f t="shared" si="21"/>
        <v>0.45433199989318579</v>
      </c>
      <c r="R80" s="20">
        <f t="shared" si="31"/>
        <v>1</v>
      </c>
      <c r="S80" s="56">
        <v>100.47499974914173</v>
      </c>
      <c r="T80" s="56">
        <v>97.55091388581819</v>
      </c>
      <c r="U80" s="56">
        <v>73.895200105253295</v>
      </c>
      <c r="V80" s="20">
        <f t="shared" si="32"/>
        <v>98.183757793592648</v>
      </c>
      <c r="W80" s="20">
        <f>W79</f>
        <v>106.55226543282583</v>
      </c>
      <c r="X80" s="36"/>
      <c r="Y80" s="26"/>
      <c r="Z80" s="26"/>
      <c r="AA80" s="26"/>
      <c r="AB80" s="36"/>
      <c r="AC80" s="29"/>
      <c r="AD80" s="29"/>
      <c r="AE80" s="29"/>
      <c r="AF80" s="29"/>
      <c r="AG80" s="29"/>
      <c r="AH80" s="29"/>
      <c r="AI80" s="26"/>
      <c r="AJ80" s="26"/>
      <c r="AK80" s="26"/>
      <c r="AL80" s="26"/>
      <c r="AM80" s="26"/>
      <c r="AN80" s="26"/>
      <c r="AW80" s="5"/>
    </row>
    <row r="81" spans="1:49" x14ac:dyDescent="0.35">
      <c r="A81" s="79">
        <v>1</v>
      </c>
      <c r="B81" s="79">
        <v>59</v>
      </c>
      <c r="C81" s="16" t="str">
        <f t="shared" si="26"/>
        <v>Wed</v>
      </c>
      <c r="D81" s="12">
        <v>44741</v>
      </c>
      <c r="E81">
        <f t="shared" si="23"/>
        <v>67</v>
      </c>
      <c r="F81" s="61">
        <f t="shared" si="14"/>
        <v>168</v>
      </c>
      <c r="G81" s="61">
        <f t="shared" si="27"/>
        <v>37</v>
      </c>
      <c r="H81" s="61">
        <f t="shared" si="15"/>
        <v>59</v>
      </c>
      <c r="I81" s="61">
        <f t="shared" si="16"/>
        <v>27</v>
      </c>
      <c r="J81" s="61">
        <f t="shared" si="17"/>
        <v>0</v>
      </c>
      <c r="K81" s="11">
        <f t="shared" si="18"/>
        <v>0.39880952380952384</v>
      </c>
      <c r="L81" s="11">
        <f t="shared" si="28"/>
        <v>9.6882580737172E-2</v>
      </c>
      <c r="M81" s="11">
        <f t="shared" si="19"/>
        <v>0.47619047619047616</v>
      </c>
      <c r="N81" s="11">
        <f t="shared" si="29"/>
        <v>0.36050978277295676</v>
      </c>
      <c r="O81" s="11">
        <f t="shared" si="20"/>
        <v>0</v>
      </c>
      <c r="P81" s="11">
        <f t="shared" si="30"/>
        <v>0</v>
      </c>
      <c r="Q81" s="11">
        <f t="shared" si="21"/>
        <v>0.45739236351012874</v>
      </c>
      <c r="R81" s="20">
        <f t="shared" si="31"/>
        <v>1</v>
      </c>
      <c r="S81" s="56">
        <v>98.465499754158898</v>
      </c>
      <c r="T81" s="56">
        <v>95.599895608101832</v>
      </c>
      <c r="U81" s="56">
        <v>72.417296103148232</v>
      </c>
      <c r="V81" s="20">
        <f t="shared" si="32"/>
        <v>96.206873658436066</v>
      </c>
      <c r="W81" s="20">
        <f t="shared" ref="W81:W83" si="37">W80</f>
        <v>106.55226543282583</v>
      </c>
      <c r="X81" s="36"/>
      <c r="Y81" s="26"/>
      <c r="Z81" s="26"/>
      <c r="AA81" s="26"/>
      <c r="AB81" s="36"/>
      <c r="AC81" s="29"/>
      <c r="AD81" s="29"/>
      <c r="AE81" s="29"/>
      <c r="AF81" s="29"/>
      <c r="AG81" s="29"/>
      <c r="AH81" s="29"/>
      <c r="AI81" s="26"/>
      <c r="AJ81" s="26"/>
      <c r="AK81" s="26"/>
      <c r="AL81" s="26"/>
      <c r="AM81" s="26"/>
      <c r="AN81" s="26"/>
      <c r="AW81" s="5"/>
    </row>
    <row r="82" spans="1:49" x14ac:dyDescent="0.35">
      <c r="A82" s="79">
        <v>1</v>
      </c>
      <c r="B82" s="79">
        <v>60</v>
      </c>
      <c r="C82" s="16" t="str">
        <f t="shared" si="26"/>
        <v>Thu</v>
      </c>
      <c r="D82" s="12">
        <v>44742</v>
      </c>
      <c r="E82">
        <f t="shared" si="23"/>
        <v>66</v>
      </c>
      <c r="F82" s="61">
        <f t="shared" si="14"/>
        <v>168</v>
      </c>
      <c r="G82" s="61">
        <f t="shared" si="27"/>
        <v>37</v>
      </c>
      <c r="H82" s="61">
        <f t="shared" si="15"/>
        <v>60</v>
      </c>
      <c r="I82" s="61">
        <f t="shared" si="16"/>
        <v>28</v>
      </c>
      <c r="J82" s="61">
        <f t="shared" si="17"/>
        <v>0</v>
      </c>
      <c r="K82" s="11">
        <f t="shared" si="18"/>
        <v>0.39285714285714285</v>
      </c>
      <c r="L82" s="11">
        <f t="shared" si="28"/>
        <v>9.5436572069452996E-2</v>
      </c>
      <c r="M82" s="11">
        <f t="shared" si="19"/>
        <v>0.48214285714285715</v>
      </c>
      <c r="N82" s="11">
        <f t="shared" si="29"/>
        <v>0.36501615505761875</v>
      </c>
      <c r="O82" s="11">
        <f t="shared" si="20"/>
        <v>0</v>
      </c>
      <c r="P82" s="11">
        <f t="shared" si="30"/>
        <v>0</v>
      </c>
      <c r="Q82" s="11">
        <f t="shared" si="21"/>
        <v>0.46045272712707175</v>
      </c>
      <c r="R82" s="20">
        <f t="shared" si="31"/>
        <v>1</v>
      </c>
      <c r="S82" s="56">
        <v>96.496189759075719</v>
      </c>
      <c r="T82" s="56">
        <v>93.687897695939796</v>
      </c>
      <c r="U82" s="56">
        <v>70.968950181085262</v>
      </c>
      <c r="V82" s="20">
        <f t="shared" si="32"/>
        <v>94.269963458798401</v>
      </c>
      <c r="W82" s="20">
        <f t="shared" si="37"/>
        <v>106.55226543282583</v>
      </c>
      <c r="X82" s="36"/>
      <c r="Y82" s="26"/>
      <c r="Z82" s="26"/>
      <c r="AA82" s="26"/>
      <c r="AB82" s="36"/>
      <c r="AC82" s="29"/>
      <c r="AD82" s="29"/>
      <c r="AE82" s="29"/>
      <c r="AF82" s="29"/>
      <c r="AG82" s="29"/>
      <c r="AH82" s="29"/>
      <c r="AI82" s="26"/>
      <c r="AJ82" s="26"/>
      <c r="AK82" s="26"/>
      <c r="AL82" s="26"/>
      <c r="AM82" s="26"/>
      <c r="AN82" s="26"/>
      <c r="AW82" s="5"/>
    </row>
    <row r="83" spans="1:49" x14ac:dyDescent="0.35">
      <c r="A83" s="79">
        <v>1</v>
      </c>
      <c r="B83" s="79">
        <v>61</v>
      </c>
      <c r="C83" s="16" t="str">
        <f t="shared" si="26"/>
        <v>Fri</v>
      </c>
      <c r="D83" s="12">
        <v>44743</v>
      </c>
      <c r="E83">
        <f t="shared" si="23"/>
        <v>65</v>
      </c>
      <c r="F83" s="61">
        <f t="shared" si="14"/>
        <v>168</v>
      </c>
      <c r="G83" s="61">
        <f t="shared" si="27"/>
        <v>37</v>
      </c>
      <c r="H83" s="61">
        <f t="shared" si="15"/>
        <v>61</v>
      </c>
      <c r="I83" s="61">
        <f t="shared" si="16"/>
        <v>29</v>
      </c>
      <c r="J83" s="61">
        <f t="shared" si="17"/>
        <v>0</v>
      </c>
      <c r="K83" s="11">
        <f t="shared" si="18"/>
        <v>0.38690476190476192</v>
      </c>
      <c r="L83" s="11">
        <f t="shared" si="28"/>
        <v>9.399056340173402E-2</v>
      </c>
      <c r="M83" s="11">
        <f t="shared" si="19"/>
        <v>0.48809523809523808</v>
      </c>
      <c r="N83" s="11">
        <f t="shared" si="29"/>
        <v>0.36952252734228069</v>
      </c>
      <c r="O83" s="11">
        <f t="shared" si="20"/>
        <v>0</v>
      </c>
      <c r="P83" s="11">
        <f t="shared" si="30"/>
        <v>0</v>
      </c>
      <c r="Q83" s="11">
        <f t="shared" si="21"/>
        <v>0.4635130907440147</v>
      </c>
      <c r="R83" s="20">
        <f t="shared" si="31"/>
        <v>1</v>
      </c>
      <c r="S83" s="56">
        <v>94.56626596389421</v>
      </c>
      <c r="T83" s="56">
        <v>91.814139742020998</v>
      </c>
      <c r="U83" s="56">
        <v>69.549571177463562</v>
      </c>
      <c r="V83" s="20">
        <f t="shared" si="32"/>
        <v>92.372212209254513</v>
      </c>
      <c r="W83" s="20">
        <f t="shared" si="37"/>
        <v>106.55226543282583</v>
      </c>
      <c r="X83" s="36"/>
      <c r="Y83" s="26"/>
      <c r="Z83" s="26"/>
      <c r="AA83" s="26"/>
      <c r="AB83" s="36"/>
      <c r="AC83" s="29"/>
      <c r="AD83" s="29"/>
      <c r="AE83" s="29"/>
      <c r="AF83" s="29"/>
      <c r="AG83" s="29"/>
      <c r="AH83" s="29"/>
      <c r="AI83" s="26"/>
      <c r="AJ83" s="26"/>
      <c r="AK83" s="26"/>
      <c r="AL83" s="26"/>
      <c r="AM83" s="26"/>
      <c r="AN83" s="26"/>
      <c r="AW83" s="5"/>
    </row>
    <row r="84" spans="1:49" x14ac:dyDescent="0.35">
      <c r="A84" s="79">
        <v>1</v>
      </c>
      <c r="B84" s="79">
        <v>62</v>
      </c>
      <c r="C84" s="16" t="str">
        <f t="shared" si="26"/>
        <v>Mon</v>
      </c>
      <c r="D84" s="12">
        <v>44746</v>
      </c>
      <c r="E84">
        <f t="shared" si="23"/>
        <v>64</v>
      </c>
      <c r="F84" s="61">
        <f t="shared" si="14"/>
        <v>168</v>
      </c>
      <c r="G84" s="61">
        <f t="shared" si="27"/>
        <v>37</v>
      </c>
      <c r="H84" s="61">
        <f t="shared" si="15"/>
        <v>62</v>
      </c>
      <c r="I84" s="61">
        <f t="shared" si="16"/>
        <v>30</v>
      </c>
      <c r="J84" s="61">
        <f t="shared" si="17"/>
        <v>0</v>
      </c>
      <c r="K84" s="11">
        <f t="shared" si="18"/>
        <v>0.38095238095238093</v>
      </c>
      <c r="L84" s="11">
        <f t="shared" si="28"/>
        <v>9.254455473401503E-2</v>
      </c>
      <c r="M84" s="11">
        <f t="shared" si="19"/>
        <v>0.49404761904761907</v>
      </c>
      <c r="N84" s="11">
        <f t="shared" si="29"/>
        <v>0.37402889962694269</v>
      </c>
      <c r="O84" s="11">
        <f t="shared" si="20"/>
        <v>0</v>
      </c>
      <c r="P84" s="11">
        <f t="shared" si="30"/>
        <v>0</v>
      </c>
      <c r="Q84" s="11">
        <f t="shared" si="21"/>
        <v>0.46657345436095771</v>
      </c>
      <c r="R84" s="20">
        <f t="shared" si="31"/>
        <v>1</v>
      </c>
      <c r="S84" s="56">
        <v>92.674940644616328</v>
      </c>
      <c r="T84" s="56">
        <v>89.977856947180584</v>
      </c>
      <c r="U84" s="56">
        <v>68.158579753914296</v>
      </c>
      <c r="V84" s="20">
        <f t="shared" si="32"/>
        <v>90.512821822542861</v>
      </c>
      <c r="W84" s="20">
        <f>AVERAGE(V79:V83)</f>
        <v>96.246851047964171</v>
      </c>
      <c r="X84" s="36"/>
      <c r="Y84" s="26"/>
      <c r="Z84" s="26"/>
      <c r="AA84" s="26"/>
      <c r="AB84" s="36"/>
      <c r="AC84" s="29"/>
      <c r="AD84" s="29"/>
      <c r="AE84" s="29"/>
      <c r="AF84" s="29"/>
      <c r="AG84" s="29"/>
      <c r="AH84" s="29"/>
      <c r="AI84" s="26"/>
      <c r="AJ84" s="26"/>
      <c r="AK84" s="26"/>
      <c r="AL84" s="26"/>
      <c r="AM84" s="26"/>
      <c r="AN84" s="26"/>
      <c r="AW84" s="5"/>
    </row>
    <row r="85" spans="1:49" x14ac:dyDescent="0.35">
      <c r="A85" s="79">
        <v>1</v>
      </c>
      <c r="B85" s="79">
        <v>63</v>
      </c>
      <c r="C85" s="16" t="str">
        <f t="shared" si="26"/>
        <v>Tue</v>
      </c>
      <c r="D85" s="12">
        <v>44747</v>
      </c>
      <c r="E85">
        <f t="shared" si="23"/>
        <v>63</v>
      </c>
      <c r="F85" s="61">
        <f t="shared" si="14"/>
        <v>168</v>
      </c>
      <c r="G85" s="61">
        <f t="shared" si="27"/>
        <v>37</v>
      </c>
      <c r="H85" s="61">
        <f t="shared" si="15"/>
        <v>63</v>
      </c>
      <c r="I85" s="61">
        <f t="shared" si="16"/>
        <v>31</v>
      </c>
      <c r="J85" s="61">
        <f t="shared" si="17"/>
        <v>0</v>
      </c>
      <c r="K85" s="11">
        <f t="shared" si="18"/>
        <v>0.375</v>
      </c>
      <c r="L85" s="11">
        <f t="shared" si="28"/>
        <v>9.1098546066296054E-2</v>
      </c>
      <c r="M85" s="11">
        <f t="shared" si="19"/>
        <v>0.5</v>
      </c>
      <c r="N85" s="11">
        <f t="shared" si="29"/>
        <v>0.37853527191160463</v>
      </c>
      <c r="O85" s="11">
        <f t="shared" si="20"/>
        <v>0</v>
      </c>
      <c r="P85" s="11">
        <f t="shared" si="30"/>
        <v>0</v>
      </c>
      <c r="Q85" s="11">
        <f t="shared" si="21"/>
        <v>0.46963381797790071</v>
      </c>
      <c r="R85" s="20">
        <f t="shared" si="31"/>
        <v>1</v>
      </c>
      <c r="S85" s="56">
        <v>90.821441831724002</v>
      </c>
      <c r="T85" s="56">
        <v>88.178299808236972</v>
      </c>
      <c r="U85" s="56">
        <v>66.795408158836011</v>
      </c>
      <c r="V85" s="20">
        <f t="shared" si="32"/>
        <v>88.691010746352859</v>
      </c>
      <c r="W85" s="20">
        <f>W84</f>
        <v>96.246851047964171</v>
      </c>
      <c r="X85" s="36"/>
      <c r="Y85" s="26"/>
      <c r="Z85" s="26"/>
      <c r="AA85" s="26"/>
      <c r="AB85" s="36"/>
      <c r="AC85" s="29"/>
      <c r="AD85" s="29"/>
      <c r="AE85" s="29"/>
      <c r="AF85" s="29"/>
      <c r="AG85" s="29"/>
      <c r="AH85" s="29"/>
      <c r="AI85" s="26"/>
      <c r="AJ85" s="26"/>
      <c r="AK85" s="26"/>
      <c r="AL85" s="26"/>
      <c r="AM85" s="26"/>
      <c r="AN85" s="26"/>
    </row>
    <row r="86" spans="1:49" x14ac:dyDescent="0.35">
      <c r="A86" s="79">
        <v>1</v>
      </c>
      <c r="B86" s="79">
        <v>64</v>
      </c>
      <c r="C86" s="16" t="str">
        <f t="shared" si="26"/>
        <v>Wed</v>
      </c>
      <c r="D86" s="12">
        <v>44748</v>
      </c>
      <c r="E86">
        <f t="shared" si="23"/>
        <v>62</v>
      </c>
      <c r="F86" s="61">
        <f t="shared" si="14"/>
        <v>168</v>
      </c>
      <c r="G86" s="61">
        <f t="shared" si="27"/>
        <v>37</v>
      </c>
      <c r="H86" s="61">
        <f t="shared" si="15"/>
        <v>64</v>
      </c>
      <c r="I86" s="61">
        <f t="shared" si="16"/>
        <v>32</v>
      </c>
      <c r="J86" s="61">
        <f t="shared" si="17"/>
        <v>0</v>
      </c>
      <c r="K86" s="11">
        <f t="shared" si="18"/>
        <v>0.36904761904761907</v>
      </c>
      <c r="L86" s="11">
        <f t="shared" si="28"/>
        <v>8.9652537398577065E-2</v>
      </c>
      <c r="M86" s="11">
        <f t="shared" si="19"/>
        <v>0.50595238095238093</v>
      </c>
      <c r="N86" s="11">
        <f t="shared" si="29"/>
        <v>0.38304164419626657</v>
      </c>
      <c r="O86" s="11">
        <f t="shared" si="20"/>
        <v>0</v>
      </c>
      <c r="P86" s="11">
        <f t="shared" si="30"/>
        <v>0</v>
      </c>
      <c r="Q86" s="11">
        <f t="shared" si="21"/>
        <v>0.47269418159484367</v>
      </c>
      <c r="R86" s="20">
        <f t="shared" si="31"/>
        <v>1</v>
      </c>
      <c r="S86" s="56">
        <v>89.005012995089515</v>
      </c>
      <c r="T86" s="56">
        <v>86.414733812072228</v>
      </c>
      <c r="U86" s="56">
        <v>65.459499995659286</v>
      </c>
      <c r="V86" s="20">
        <f t="shared" si="32"/>
        <v>86.906013608545905</v>
      </c>
      <c r="W86" s="20">
        <f t="shared" ref="W86:W88" si="38">W85</f>
        <v>96.246851047964171</v>
      </c>
      <c r="X86" s="36"/>
      <c r="Y86" s="26"/>
      <c r="Z86" s="26"/>
      <c r="AA86" s="26"/>
      <c r="AB86" s="36"/>
      <c r="AC86" s="29"/>
      <c r="AD86" s="29"/>
      <c r="AE86" s="29"/>
      <c r="AF86" s="29"/>
      <c r="AG86" s="29"/>
      <c r="AH86" s="29"/>
      <c r="AI86" s="26"/>
      <c r="AJ86" s="26"/>
      <c r="AK86" s="26"/>
      <c r="AL86" s="26"/>
      <c r="AM86" s="26"/>
      <c r="AN86" s="26"/>
    </row>
    <row r="87" spans="1:49" x14ac:dyDescent="0.35">
      <c r="A87" s="79">
        <v>1</v>
      </c>
      <c r="B87" s="79">
        <v>65</v>
      </c>
      <c r="C87" s="16" t="str">
        <f t="shared" ref="C87:C118" si="39">TEXT(D87,"ddd")</f>
        <v>Thu</v>
      </c>
      <c r="D87" s="12">
        <v>44749</v>
      </c>
      <c r="E87">
        <f t="shared" si="23"/>
        <v>61</v>
      </c>
      <c r="F87" s="61">
        <f t="shared" si="14"/>
        <v>168</v>
      </c>
      <c r="G87" s="61">
        <f t="shared" ref="G87:G118" si="40">$E$18</f>
        <v>37</v>
      </c>
      <c r="H87" s="61">
        <f t="shared" si="15"/>
        <v>65</v>
      </c>
      <c r="I87" s="61">
        <f t="shared" si="16"/>
        <v>33</v>
      </c>
      <c r="J87" s="61">
        <f t="shared" si="17"/>
        <v>0</v>
      </c>
      <c r="K87" s="11">
        <f t="shared" si="18"/>
        <v>0.36309523809523808</v>
      </c>
      <c r="L87" s="11">
        <f t="shared" ref="L87:L118" si="41">K87*$D$6</f>
        <v>8.8206528730858075E-2</v>
      </c>
      <c r="M87" s="11">
        <f t="shared" si="19"/>
        <v>0.51190476190476186</v>
      </c>
      <c r="N87" s="11">
        <f t="shared" ref="N87:N118" si="42">M87*$D$7</f>
        <v>0.38754801648092851</v>
      </c>
      <c r="O87" s="11">
        <f t="shared" si="20"/>
        <v>0</v>
      </c>
      <c r="P87" s="11">
        <f t="shared" ref="P87:P118" si="43">O87*$D$6</f>
        <v>0</v>
      </c>
      <c r="Q87" s="11">
        <f t="shared" si="21"/>
        <v>0.47575454521178662</v>
      </c>
      <c r="R87" s="20">
        <f t="shared" ref="R87:R118" si="44">(L87/Q87)+(N87/Q87)+(P87/Q87)</f>
        <v>1</v>
      </c>
      <c r="S87" s="56">
        <v>87.224912735187729</v>
      </c>
      <c r="T87" s="56">
        <v>84.686439135830781</v>
      </c>
      <c r="U87" s="56">
        <v>64.150309995746099</v>
      </c>
      <c r="V87" s="20">
        <f t="shared" ref="V87:V118" si="45">((S87*L87)+(T87*N87)+(U87*P87))/(L87+N87+P87)</f>
        <v>85.157080870581879</v>
      </c>
      <c r="W87" s="20">
        <f t="shared" si="38"/>
        <v>96.246851047964171</v>
      </c>
      <c r="X87" s="36"/>
      <c r="Y87" s="26"/>
      <c r="Z87" s="26"/>
      <c r="AA87" s="26"/>
      <c r="AB87" s="36"/>
      <c r="AC87" s="29"/>
      <c r="AD87" s="29"/>
      <c r="AE87" s="29"/>
      <c r="AF87" s="29"/>
      <c r="AG87" s="29"/>
      <c r="AH87" s="29"/>
      <c r="AI87" s="26"/>
      <c r="AJ87" s="26"/>
      <c r="AK87" s="26"/>
      <c r="AL87" s="26"/>
      <c r="AM87" s="26"/>
      <c r="AN87" s="26"/>
    </row>
    <row r="88" spans="1:49" x14ac:dyDescent="0.35">
      <c r="A88" s="79">
        <v>1</v>
      </c>
      <c r="B88" s="79">
        <v>66</v>
      </c>
      <c r="C88" s="16" t="str">
        <f t="shared" si="39"/>
        <v>Fri</v>
      </c>
      <c r="D88" s="12">
        <v>44750</v>
      </c>
      <c r="E88">
        <f t="shared" si="23"/>
        <v>60</v>
      </c>
      <c r="F88" s="61">
        <f t="shared" ref="F88:F147" si="46">$E$19</f>
        <v>168</v>
      </c>
      <c r="G88" s="61">
        <f t="shared" si="40"/>
        <v>37</v>
      </c>
      <c r="H88" s="61">
        <f t="shared" ref="H88:H147" si="47">B88</f>
        <v>66</v>
      </c>
      <c r="I88" s="61">
        <f t="shared" ref="I88:I147" si="48">IF(D88&lt;$D$55,0,B88-32)</f>
        <v>34</v>
      </c>
      <c r="J88" s="61">
        <f t="shared" ref="J88:J147" si="49">IF(D88&lt;$D$126,0,B88-103)</f>
        <v>0</v>
      </c>
      <c r="K88" s="11">
        <f t="shared" ref="K88:K147" si="50">E88/F88</f>
        <v>0.35714285714285715</v>
      </c>
      <c r="L88" s="11">
        <f t="shared" si="41"/>
        <v>8.6760520063139099E-2</v>
      </c>
      <c r="M88" s="11">
        <f t="shared" ref="M88:M147" si="51">(G88+0.5*(H88-I88)+(I88-J88))/F88</f>
        <v>0.5178571428571429</v>
      </c>
      <c r="N88" s="11">
        <f t="shared" si="42"/>
        <v>0.39205438876559057</v>
      </c>
      <c r="O88" s="11">
        <f t="shared" ref="O88:O147" si="52">J88/F88</f>
        <v>0</v>
      </c>
      <c r="P88" s="11">
        <f t="shared" si="43"/>
        <v>0</v>
      </c>
      <c r="Q88" s="11">
        <f t="shared" ref="Q88:Q147" si="53">L88+N88+P88</f>
        <v>0.47881490882872968</v>
      </c>
      <c r="R88" s="20">
        <f t="shared" si="44"/>
        <v>1</v>
      </c>
      <c r="S88" s="56">
        <v>85.480414480483972</v>
      </c>
      <c r="T88" s="56">
        <v>82.992710353114163</v>
      </c>
      <c r="U88" s="56">
        <v>62.867303795831177</v>
      </c>
      <c r="V88" s="20">
        <f t="shared" si="45"/>
        <v>83.443478488930538</v>
      </c>
      <c r="W88" s="20">
        <f t="shared" si="38"/>
        <v>96.246851047964171</v>
      </c>
      <c r="X88" s="36"/>
      <c r="Y88" s="26"/>
      <c r="Z88" s="26"/>
      <c r="AA88" s="26"/>
      <c r="AB88" s="36"/>
      <c r="AC88" s="29"/>
      <c r="AD88" s="29"/>
      <c r="AE88" s="29"/>
      <c r="AF88" s="29"/>
      <c r="AG88" s="29"/>
      <c r="AH88" s="29"/>
      <c r="AI88" s="26"/>
      <c r="AJ88" s="26"/>
      <c r="AK88" s="26"/>
      <c r="AL88" s="26"/>
      <c r="AM88" s="26"/>
      <c r="AN88" s="26"/>
    </row>
    <row r="89" spans="1:49" x14ac:dyDescent="0.35">
      <c r="A89" s="79">
        <v>1</v>
      </c>
      <c r="B89" s="79">
        <v>67</v>
      </c>
      <c r="C89" s="16" t="str">
        <f t="shared" si="39"/>
        <v>Mon</v>
      </c>
      <c r="D89" s="12">
        <v>44753</v>
      </c>
      <c r="E89">
        <f t="shared" ref="E89:E147" si="54">E88-1</f>
        <v>59</v>
      </c>
      <c r="F89" s="61">
        <f t="shared" si="46"/>
        <v>168</v>
      </c>
      <c r="G89" s="61">
        <f t="shared" si="40"/>
        <v>37</v>
      </c>
      <c r="H89" s="61">
        <f t="shared" si="47"/>
        <v>67</v>
      </c>
      <c r="I89" s="61">
        <f t="shared" si="48"/>
        <v>35</v>
      </c>
      <c r="J89" s="61">
        <f t="shared" si="49"/>
        <v>0</v>
      </c>
      <c r="K89" s="11">
        <f t="shared" si="50"/>
        <v>0.35119047619047616</v>
      </c>
      <c r="L89" s="11">
        <f t="shared" si="41"/>
        <v>8.5314511395420095E-2</v>
      </c>
      <c r="M89" s="11">
        <f t="shared" si="51"/>
        <v>0.52380952380952384</v>
      </c>
      <c r="N89" s="11">
        <f t="shared" si="42"/>
        <v>0.39656076105025251</v>
      </c>
      <c r="O89" s="11">
        <f t="shared" si="52"/>
        <v>0</v>
      </c>
      <c r="P89" s="11">
        <f t="shared" si="43"/>
        <v>0</v>
      </c>
      <c r="Q89" s="11">
        <f t="shared" si="53"/>
        <v>0.48187527244567263</v>
      </c>
      <c r="R89" s="20">
        <f t="shared" si="44"/>
        <v>1</v>
      </c>
      <c r="S89" s="56">
        <v>83.770806190874296</v>
      </c>
      <c r="T89" s="56">
        <v>81.332856146051881</v>
      </c>
      <c r="U89" s="56">
        <v>61.609957719914554</v>
      </c>
      <c r="V89" s="20">
        <f t="shared" si="45"/>
        <v>81.764487584255463</v>
      </c>
      <c r="W89" s="20">
        <f>AVERAGE(V84:V88)</f>
        <v>86.942081107390806</v>
      </c>
      <c r="X89" s="36"/>
      <c r="Y89" s="26"/>
      <c r="Z89" s="26"/>
      <c r="AA89" s="26"/>
      <c r="AB89" s="36"/>
      <c r="AC89" s="29"/>
      <c r="AD89" s="29"/>
      <c r="AE89" s="29"/>
      <c r="AF89" s="29"/>
      <c r="AG89" s="29"/>
      <c r="AH89" s="29"/>
      <c r="AI89" s="26"/>
      <c r="AJ89" s="26"/>
      <c r="AK89" s="26"/>
      <c r="AL89" s="26"/>
      <c r="AM89" s="26"/>
      <c r="AN89" s="26"/>
    </row>
    <row r="90" spans="1:49" x14ac:dyDescent="0.35">
      <c r="A90" s="79">
        <v>1</v>
      </c>
      <c r="B90" s="79">
        <v>68</v>
      </c>
      <c r="C90" s="16" t="str">
        <f t="shared" si="39"/>
        <v>Tue</v>
      </c>
      <c r="D90" s="12">
        <v>44754</v>
      </c>
      <c r="E90">
        <f t="shared" si="54"/>
        <v>58</v>
      </c>
      <c r="F90" s="61">
        <f t="shared" si="46"/>
        <v>168</v>
      </c>
      <c r="G90" s="61">
        <f t="shared" si="40"/>
        <v>37</v>
      </c>
      <c r="H90" s="61">
        <f t="shared" si="47"/>
        <v>68</v>
      </c>
      <c r="I90" s="61">
        <f t="shared" si="48"/>
        <v>36</v>
      </c>
      <c r="J90" s="61">
        <f t="shared" si="49"/>
        <v>0</v>
      </c>
      <c r="K90" s="11">
        <f t="shared" si="50"/>
        <v>0.34523809523809523</v>
      </c>
      <c r="L90" s="11">
        <f t="shared" si="41"/>
        <v>8.3868502727701119E-2</v>
      </c>
      <c r="M90" s="11">
        <f t="shared" si="51"/>
        <v>0.52976190476190477</v>
      </c>
      <c r="N90" s="11">
        <f t="shared" si="42"/>
        <v>0.40106713333491445</v>
      </c>
      <c r="O90" s="11">
        <f t="shared" si="52"/>
        <v>0</v>
      </c>
      <c r="P90" s="11">
        <f t="shared" si="43"/>
        <v>0</v>
      </c>
      <c r="Q90" s="11">
        <f t="shared" si="53"/>
        <v>0.48493563606261558</v>
      </c>
      <c r="R90" s="20">
        <f t="shared" si="44"/>
        <v>1</v>
      </c>
      <c r="S90" s="56">
        <v>82.095390067056812</v>
      </c>
      <c r="T90" s="56">
        <v>79.70619902313085</v>
      </c>
      <c r="U90" s="56">
        <v>60.37775856551626</v>
      </c>
      <c r="V90" s="20">
        <f t="shared" si="45"/>
        <v>80.119404118164596</v>
      </c>
      <c r="W90" s="20">
        <f>W89</f>
        <v>86.942081107390806</v>
      </c>
      <c r="X90" s="36"/>
      <c r="Y90" s="26"/>
      <c r="Z90" s="26"/>
      <c r="AA90" s="26"/>
      <c r="AB90" s="36"/>
      <c r="AC90" s="29"/>
      <c r="AD90" s="29"/>
      <c r="AE90" s="29"/>
      <c r="AF90" s="29"/>
      <c r="AG90" s="29"/>
      <c r="AH90" s="29"/>
      <c r="AI90" s="26"/>
      <c r="AJ90" s="26"/>
      <c r="AK90" s="26"/>
      <c r="AL90" s="26"/>
      <c r="AM90" s="26"/>
      <c r="AN90" s="26"/>
    </row>
    <row r="91" spans="1:49" x14ac:dyDescent="0.35">
      <c r="A91" s="79">
        <v>1</v>
      </c>
      <c r="B91" s="79">
        <v>69</v>
      </c>
      <c r="C91" s="16" t="str">
        <f t="shared" si="39"/>
        <v>Wed</v>
      </c>
      <c r="D91" s="12">
        <v>44755</v>
      </c>
      <c r="E91">
        <f t="shared" si="54"/>
        <v>57</v>
      </c>
      <c r="F91" s="61">
        <f t="shared" si="46"/>
        <v>168</v>
      </c>
      <c r="G91" s="61">
        <f t="shared" si="40"/>
        <v>37</v>
      </c>
      <c r="H91" s="61">
        <f t="shared" si="47"/>
        <v>69</v>
      </c>
      <c r="I91" s="61">
        <f t="shared" si="48"/>
        <v>37</v>
      </c>
      <c r="J91" s="61">
        <f t="shared" si="49"/>
        <v>0</v>
      </c>
      <c r="K91" s="11">
        <f t="shared" si="50"/>
        <v>0.3392857142857143</v>
      </c>
      <c r="L91" s="11">
        <f t="shared" si="41"/>
        <v>8.2422494059982143E-2</v>
      </c>
      <c r="M91" s="11">
        <f t="shared" si="51"/>
        <v>0.5357142857142857</v>
      </c>
      <c r="N91" s="11">
        <f t="shared" si="42"/>
        <v>0.40557350561957639</v>
      </c>
      <c r="O91" s="11">
        <f t="shared" si="52"/>
        <v>0</v>
      </c>
      <c r="P91" s="11">
        <f t="shared" si="43"/>
        <v>0</v>
      </c>
      <c r="Q91" s="11">
        <f t="shared" si="53"/>
        <v>0.48799599967955853</v>
      </c>
      <c r="R91" s="20">
        <f t="shared" si="44"/>
        <v>1</v>
      </c>
      <c r="S91" s="56">
        <v>80.453482265715678</v>
      </c>
      <c r="T91" s="56">
        <v>78.112075042668238</v>
      </c>
      <c r="U91" s="56">
        <v>59.170203394205934</v>
      </c>
      <c r="V91" s="20">
        <f t="shared" si="45"/>
        <v>78.507538577329072</v>
      </c>
      <c r="W91" s="20">
        <f t="shared" ref="W91:W93" si="55">W90</f>
        <v>86.942081107390806</v>
      </c>
      <c r="X91" s="36"/>
      <c r="Y91" s="26"/>
      <c r="Z91" s="26"/>
      <c r="AA91" s="26"/>
      <c r="AB91" s="36"/>
      <c r="AC91" s="29"/>
      <c r="AD91" s="29"/>
      <c r="AE91" s="29"/>
      <c r="AF91" s="29"/>
      <c r="AG91" s="29"/>
      <c r="AH91" s="29"/>
      <c r="AI91" s="26"/>
      <c r="AJ91" s="26"/>
      <c r="AK91" s="26"/>
      <c r="AL91" s="26"/>
      <c r="AM91" s="26"/>
      <c r="AN91" s="26"/>
    </row>
    <row r="92" spans="1:49" x14ac:dyDescent="0.35">
      <c r="A92" s="79">
        <v>1</v>
      </c>
      <c r="B92" s="79">
        <v>70</v>
      </c>
      <c r="C92" s="16" t="str">
        <f t="shared" si="39"/>
        <v>Thu</v>
      </c>
      <c r="D92" s="12">
        <v>44756</v>
      </c>
      <c r="E92">
        <f t="shared" si="54"/>
        <v>56</v>
      </c>
      <c r="F92" s="61">
        <f t="shared" si="46"/>
        <v>168</v>
      </c>
      <c r="G92" s="61">
        <f t="shared" si="40"/>
        <v>37</v>
      </c>
      <c r="H92" s="61">
        <f t="shared" si="47"/>
        <v>70</v>
      </c>
      <c r="I92" s="61">
        <f t="shared" si="48"/>
        <v>38</v>
      </c>
      <c r="J92" s="61">
        <f t="shared" si="49"/>
        <v>0</v>
      </c>
      <c r="K92" s="11">
        <f t="shared" si="50"/>
        <v>0.33333333333333331</v>
      </c>
      <c r="L92" s="11">
        <f t="shared" si="41"/>
        <v>8.0976485392263153E-2</v>
      </c>
      <c r="M92" s="11">
        <f t="shared" si="51"/>
        <v>0.54166666666666663</v>
      </c>
      <c r="N92" s="11">
        <f t="shared" si="42"/>
        <v>0.41007987790423833</v>
      </c>
      <c r="O92" s="11">
        <f t="shared" si="52"/>
        <v>0</v>
      </c>
      <c r="P92" s="11">
        <f t="shared" si="43"/>
        <v>0</v>
      </c>
      <c r="Q92" s="11">
        <f t="shared" si="53"/>
        <v>0.49105636329650149</v>
      </c>
      <c r="R92" s="20">
        <f t="shared" si="44"/>
        <v>1</v>
      </c>
      <c r="S92" s="56">
        <v>78.844412620401371</v>
      </c>
      <c r="T92" s="56">
        <v>76.549833541814877</v>
      </c>
      <c r="U92" s="56">
        <v>57.986799326321815</v>
      </c>
      <c r="V92" s="20">
        <f t="shared" si="45"/>
        <v>76.928215664777738</v>
      </c>
      <c r="W92" s="20">
        <f t="shared" si="55"/>
        <v>86.942081107390806</v>
      </c>
      <c r="X92" s="36"/>
      <c r="Y92" s="26"/>
      <c r="Z92" s="26"/>
      <c r="AA92" s="26"/>
      <c r="AB92" s="36"/>
      <c r="AC92" s="29"/>
      <c r="AD92" s="29"/>
      <c r="AE92" s="29"/>
      <c r="AF92" s="29"/>
      <c r="AG92" s="29"/>
      <c r="AH92" s="29"/>
      <c r="AI92" s="26"/>
      <c r="AJ92" s="26"/>
      <c r="AK92" s="26"/>
      <c r="AL92" s="26"/>
      <c r="AM92" s="26"/>
      <c r="AN92" s="26"/>
    </row>
    <row r="93" spans="1:49" x14ac:dyDescent="0.35">
      <c r="A93" s="79">
        <v>1</v>
      </c>
      <c r="B93" s="79">
        <v>71</v>
      </c>
      <c r="C93" s="16" t="str">
        <f t="shared" si="39"/>
        <v>Fri</v>
      </c>
      <c r="D93" s="12">
        <v>44757</v>
      </c>
      <c r="E93">
        <f t="shared" si="54"/>
        <v>55</v>
      </c>
      <c r="F93" s="61">
        <f t="shared" si="46"/>
        <v>168</v>
      </c>
      <c r="G93" s="61">
        <f t="shared" si="40"/>
        <v>37</v>
      </c>
      <c r="H93" s="61">
        <f t="shared" si="47"/>
        <v>71</v>
      </c>
      <c r="I93" s="61">
        <f t="shared" si="48"/>
        <v>39</v>
      </c>
      <c r="J93" s="61">
        <f t="shared" si="49"/>
        <v>0</v>
      </c>
      <c r="K93" s="11">
        <f t="shared" si="50"/>
        <v>0.32738095238095238</v>
      </c>
      <c r="L93" s="11">
        <f t="shared" si="41"/>
        <v>7.9530476724544164E-2</v>
      </c>
      <c r="M93" s="11">
        <f t="shared" si="51"/>
        <v>0.54761904761904767</v>
      </c>
      <c r="N93" s="11">
        <f t="shared" si="42"/>
        <v>0.41458625018890033</v>
      </c>
      <c r="O93" s="11">
        <f t="shared" si="52"/>
        <v>0</v>
      </c>
      <c r="P93" s="11">
        <f t="shared" si="43"/>
        <v>0</v>
      </c>
      <c r="Q93" s="11">
        <f t="shared" si="53"/>
        <v>0.49411672691344449</v>
      </c>
      <c r="R93" s="20">
        <f t="shared" si="44"/>
        <v>1</v>
      </c>
      <c r="S93" s="56">
        <v>77.267524367993346</v>
      </c>
      <c r="T93" s="56">
        <v>75.018836870978575</v>
      </c>
      <c r="U93" s="56">
        <v>56.82706333979538</v>
      </c>
      <c r="V93" s="20">
        <f t="shared" si="45"/>
        <v>75.38077399818178</v>
      </c>
      <c r="W93" s="20">
        <f t="shared" si="55"/>
        <v>86.942081107390806</v>
      </c>
      <c r="X93" s="36"/>
      <c r="Y93" s="26"/>
      <c r="Z93" s="26"/>
      <c r="AA93" s="26"/>
      <c r="AB93" s="36"/>
      <c r="AC93" s="29"/>
      <c r="AD93" s="29"/>
      <c r="AE93" s="29"/>
      <c r="AF93" s="29"/>
      <c r="AG93" s="29"/>
      <c r="AH93" s="29"/>
      <c r="AI93" s="26"/>
      <c r="AJ93" s="26"/>
      <c r="AK93" s="26"/>
      <c r="AL93" s="26"/>
      <c r="AM93" s="26"/>
      <c r="AN93" s="26"/>
    </row>
    <row r="94" spans="1:49" x14ac:dyDescent="0.35">
      <c r="A94" s="79">
        <v>1</v>
      </c>
      <c r="B94" s="79">
        <v>72</v>
      </c>
      <c r="C94" s="16" t="str">
        <f t="shared" si="39"/>
        <v>Mon</v>
      </c>
      <c r="D94" s="12">
        <v>44760</v>
      </c>
      <c r="E94">
        <f t="shared" si="54"/>
        <v>54</v>
      </c>
      <c r="F94" s="61">
        <f t="shared" si="46"/>
        <v>168</v>
      </c>
      <c r="G94" s="61">
        <f t="shared" si="40"/>
        <v>37</v>
      </c>
      <c r="H94" s="61">
        <f t="shared" si="47"/>
        <v>72</v>
      </c>
      <c r="I94" s="61">
        <f t="shared" si="48"/>
        <v>40</v>
      </c>
      <c r="J94" s="61">
        <f t="shared" si="49"/>
        <v>0</v>
      </c>
      <c r="K94" s="11">
        <f t="shared" si="50"/>
        <v>0.32142857142857145</v>
      </c>
      <c r="L94" s="11">
        <f t="shared" si="41"/>
        <v>7.8084468056825188E-2</v>
      </c>
      <c r="M94" s="11">
        <f t="shared" si="51"/>
        <v>0.5535714285714286</v>
      </c>
      <c r="N94" s="11">
        <f t="shared" si="42"/>
        <v>0.41909262247356227</v>
      </c>
      <c r="O94" s="11">
        <f t="shared" si="52"/>
        <v>0</v>
      </c>
      <c r="P94" s="11">
        <f t="shared" si="43"/>
        <v>0</v>
      </c>
      <c r="Q94" s="11">
        <f t="shared" si="53"/>
        <v>0.49717709053038744</v>
      </c>
      <c r="R94" s="20">
        <f t="shared" si="44"/>
        <v>1</v>
      </c>
      <c r="S94" s="56">
        <v>75.722173880633477</v>
      </c>
      <c r="T94" s="56">
        <v>73.518460133559003</v>
      </c>
      <c r="U94" s="56">
        <v>55.690522072999471</v>
      </c>
      <c r="V94" s="20">
        <f t="shared" si="45"/>
        <v>73.864565814949628</v>
      </c>
      <c r="W94" s="20">
        <f>AVERAGE(V89:V93)</f>
        <v>78.540083988541724</v>
      </c>
      <c r="X94" s="36"/>
      <c r="Y94" s="26"/>
      <c r="Z94" s="26"/>
      <c r="AA94" s="26"/>
      <c r="AB94" s="36"/>
      <c r="AC94" s="29"/>
      <c r="AD94" s="29"/>
      <c r="AE94" s="29"/>
      <c r="AF94" s="29"/>
      <c r="AG94" s="29"/>
      <c r="AH94" s="29"/>
      <c r="AI94" s="26"/>
      <c r="AJ94" s="26"/>
      <c r="AK94" s="26"/>
      <c r="AL94" s="26"/>
      <c r="AM94" s="26"/>
      <c r="AN94" s="26"/>
    </row>
    <row r="95" spans="1:49" x14ac:dyDescent="0.35">
      <c r="A95" s="79">
        <v>1</v>
      </c>
      <c r="B95" s="79">
        <v>73</v>
      </c>
      <c r="C95" s="16" t="str">
        <f t="shared" si="39"/>
        <v>Tue</v>
      </c>
      <c r="D95" s="12">
        <v>44761</v>
      </c>
      <c r="E95">
        <f t="shared" si="54"/>
        <v>53</v>
      </c>
      <c r="F95" s="61">
        <f t="shared" si="46"/>
        <v>168</v>
      </c>
      <c r="G95" s="61">
        <f t="shared" si="40"/>
        <v>37</v>
      </c>
      <c r="H95" s="61">
        <f t="shared" si="47"/>
        <v>73</v>
      </c>
      <c r="I95" s="61">
        <f t="shared" si="48"/>
        <v>41</v>
      </c>
      <c r="J95" s="61">
        <f t="shared" si="49"/>
        <v>0</v>
      </c>
      <c r="K95" s="11">
        <f t="shared" si="50"/>
        <v>0.31547619047619047</v>
      </c>
      <c r="L95" s="11">
        <f t="shared" si="41"/>
        <v>7.6638459389106198E-2</v>
      </c>
      <c r="M95" s="11">
        <f t="shared" si="51"/>
        <v>0.55952380952380953</v>
      </c>
      <c r="N95" s="11">
        <f t="shared" si="42"/>
        <v>0.42359899475822421</v>
      </c>
      <c r="O95" s="11">
        <f t="shared" si="52"/>
        <v>0</v>
      </c>
      <c r="P95" s="11">
        <f t="shared" si="43"/>
        <v>0</v>
      </c>
      <c r="Q95" s="11">
        <f t="shared" si="53"/>
        <v>0.50023745414733045</v>
      </c>
      <c r="R95" s="20">
        <f t="shared" si="44"/>
        <v>0.99999999999999989</v>
      </c>
      <c r="S95" s="56">
        <v>74.207730403020804</v>
      </c>
      <c r="T95" s="56">
        <v>72.048090930887824</v>
      </c>
      <c r="U95" s="56">
        <v>54.576711631539482</v>
      </c>
      <c r="V95" s="20">
        <f t="shared" si="45"/>
        <v>72.378956683957611</v>
      </c>
      <c r="W95" s="20">
        <f>W94</f>
        <v>78.540083988541724</v>
      </c>
      <c r="X95" s="36"/>
      <c r="Y95" s="26"/>
      <c r="Z95" s="26"/>
      <c r="AA95" s="26"/>
      <c r="AB95" s="36"/>
      <c r="AC95" s="29"/>
      <c r="AD95" s="29"/>
      <c r="AE95" s="29"/>
      <c r="AF95" s="29"/>
      <c r="AG95" s="29"/>
      <c r="AH95" s="29"/>
      <c r="AI95" s="26"/>
      <c r="AJ95" s="26"/>
      <c r="AK95" s="26"/>
      <c r="AL95" s="26"/>
      <c r="AM95" s="26"/>
      <c r="AN95" s="26"/>
    </row>
    <row r="96" spans="1:49" x14ac:dyDescent="0.35">
      <c r="A96" s="79">
        <v>1</v>
      </c>
      <c r="B96" s="79">
        <v>74</v>
      </c>
      <c r="C96" s="16" t="str">
        <f t="shared" si="39"/>
        <v>Wed</v>
      </c>
      <c r="D96" s="12">
        <v>44762</v>
      </c>
      <c r="E96">
        <f t="shared" si="54"/>
        <v>52</v>
      </c>
      <c r="F96" s="61">
        <f t="shared" si="46"/>
        <v>168</v>
      </c>
      <c r="G96" s="61">
        <f t="shared" si="40"/>
        <v>37</v>
      </c>
      <c r="H96" s="61">
        <f t="shared" si="47"/>
        <v>74</v>
      </c>
      <c r="I96" s="61">
        <f t="shared" si="48"/>
        <v>42</v>
      </c>
      <c r="J96" s="61">
        <f t="shared" si="49"/>
        <v>0</v>
      </c>
      <c r="K96" s="11">
        <f t="shared" si="50"/>
        <v>0.30952380952380953</v>
      </c>
      <c r="L96" s="11">
        <f t="shared" si="41"/>
        <v>7.5192450721387222E-2</v>
      </c>
      <c r="M96" s="11">
        <f t="shared" si="51"/>
        <v>0.56547619047619047</v>
      </c>
      <c r="N96" s="11">
        <f t="shared" si="42"/>
        <v>0.42810536704288621</v>
      </c>
      <c r="O96" s="11">
        <f t="shared" si="52"/>
        <v>0</v>
      </c>
      <c r="P96" s="11">
        <f t="shared" si="43"/>
        <v>0</v>
      </c>
      <c r="Q96" s="11">
        <f t="shared" si="53"/>
        <v>0.5032978177642734</v>
      </c>
      <c r="R96" s="20">
        <f t="shared" si="44"/>
        <v>1</v>
      </c>
      <c r="S96" s="56">
        <v>72.723575794960382</v>
      </c>
      <c r="T96" s="56">
        <v>70.607129112270073</v>
      </c>
      <c r="U96" s="56">
        <v>53.485177398908689</v>
      </c>
      <c r="V96" s="20">
        <f t="shared" si="45"/>
        <v>70.923325223748492</v>
      </c>
      <c r="W96" s="20">
        <f t="shared" ref="W96:W98" si="56">W95</f>
        <v>78.540083988541724</v>
      </c>
      <c r="X96" s="36"/>
      <c r="Y96" s="26"/>
      <c r="Z96" s="26"/>
      <c r="AA96" s="26"/>
      <c r="AB96" s="36"/>
      <c r="AC96" s="29"/>
      <c r="AD96" s="29"/>
      <c r="AE96" s="29"/>
      <c r="AF96" s="29"/>
      <c r="AG96" s="29"/>
      <c r="AH96" s="29"/>
      <c r="AI96" s="26"/>
      <c r="AJ96" s="26"/>
      <c r="AK96" s="26"/>
      <c r="AL96" s="26"/>
      <c r="AM96" s="26"/>
      <c r="AN96" s="26"/>
    </row>
    <row r="97" spans="1:40" x14ac:dyDescent="0.35">
      <c r="A97" s="79">
        <v>1</v>
      </c>
      <c r="B97" s="79">
        <v>75</v>
      </c>
      <c r="C97" s="16" t="str">
        <f t="shared" si="39"/>
        <v>Thu</v>
      </c>
      <c r="D97" s="12">
        <v>44763</v>
      </c>
      <c r="E97">
        <f t="shared" si="54"/>
        <v>51</v>
      </c>
      <c r="F97" s="61">
        <f t="shared" si="46"/>
        <v>168</v>
      </c>
      <c r="G97" s="61">
        <f t="shared" si="40"/>
        <v>37</v>
      </c>
      <c r="H97" s="61">
        <f t="shared" si="47"/>
        <v>75</v>
      </c>
      <c r="I97" s="61">
        <f t="shared" si="48"/>
        <v>43</v>
      </c>
      <c r="J97" s="61">
        <f t="shared" si="49"/>
        <v>0</v>
      </c>
      <c r="K97" s="11">
        <f t="shared" si="50"/>
        <v>0.30357142857142855</v>
      </c>
      <c r="L97" s="11">
        <f t="shared" si="41"/>
        <v>7.3746442053668218E-2</v>
      </c>
      <c r="M97" s="11">
        <f t="shared" si="51"/>
        <v>0.5714285714285714</v>
      </c>
      <c r="N97" s="11">
        <f t="shared" si="42"/>
        <v>0.43261173932754815</v>
      </c>
      <c r="O97" s="11">
        <f t="shared" si="52"/>
        <v>0</v>
      </c>
      <c r="P97" s="11">
        <f t="shared" si="43"/>
        <v>0</v>
      </c>
      <c r="Q97" s="11">
        <f t="shared" si="53"/>
        <v>0.50635818138121635</v>
      </c>
      <c r="R97" s="20">
        <f t="shared" si="44"/>
        <v>1</v>
      </c>
      <c r="S97" s="56">
        <v>71.269104279061168</v>
      </c>
      <c r="T97" s="56">
        <v>69.194986530024664</v>
      </c>
      <c r="U97" s="56">
        <v>52.415473850930518</v>
      </c>
      <c r="V97" s="20">
        <f t="shared" si="45"/>
        <v>69.497062827033574</v>
      </c>
      <c r="W97" s="20">
        <f t="shared" si="56"/>
        <v>78.540083988541724</v>
      </c>
      <c r="X97" s="36"/>
      <c r="Y97" s="26"/>
      <c r="Z97" s="26"/>
      <c r="AA97" s="26"/>
      <c r="AB97" s="36"/>
      <c r="AC97" s="29"/>
      <c r="AD97" s="29"/>
      <c r="AE97" s="29"/>
      <c r="AF97" s="29"/>
      <c r="AG97" s="29"/>
      <c r="AH97" s="29"/>
      <c r="AI97" s="26"/>
      <c r="AJ97" s="26"/>
      <c r="AK97" s="26"/>
      <c r="AL97" s="26"/>
      <c r="AM97" s="26"/>
      <c r="AN97" s="26"/>
    </row>
    <row r="98" spans="1:40" x14ac:dyDescent="0.35">
      <c r="A98" s="79">
        <v>1</v>
      </c>
      <c r="B98" s="79">
        <v>76</v>
      </c>
      <c r="C98" s="16" t="str">
        <f t="shared" si="39"/>
        <v>Fri</v>
      </c>
      <c r="D98" s="12">
        <v>44764</v>
      </c>
      <c r="E98">
        <f t="shared" si="54"/>
        <v>50</v>
      </c>
      <c r="F98" s="61">
        <f t="shared" si="46"/>
        <v>168</v>
      </c>
      <c r="G98" s="61">
        <f t="shared" si="40"/>
        <v>37</v>
      </c>
      <c r="H98" s="61">
        <f t="shared" si="47"/>
        <v>76</v>
      </c>
      <c r="I98" s="61">
        <f t="shared" si="48"/>
        <v>44</v>
      </c>
      <c r="J98" s="61">
        <f t="shared" si="49"/>
        <v>0</v>
      </c>
      <c r="K98" s="11">
        <f t="shared" si="50"/>
        <v>0.29761904761904762</v>
      </c>
      <c r="L98" s="11">
        <f t="shared" si="41"/>
        <v>7.2300433385949242E-2</v>
      </c>
      <c r="M98" s="11">
        <f t="shared" si="51"/>
        <v>0.57738095238095233</v>
      </c>
      <c r="N98" s="11">
        <f t="shared" si="42"/>
        <v>0.43711811161221009</v>
      </c>
      <c r="O98" s="11">
        <f t="shared" si="52"/>
        <v>0</v>
      </c>
      <c r="P98" s="11">
        <f t="shared" si="43"/>
        <v>0</v>
      </c>
      <c r="Q98" s="11">
        <f t="shared" si="53"/>
        <v>0.50941854499815931</v>
      </c>
      <c r="R98" s="20">
        <f t="shared" si="44"/>
        <v>1</v>
      </c>
      <c r="S98" s="56">
        <v>60.8</v>
      </c>
      <c r="T98" s="56">
        <v>67.811086799424174</v>
      </c>
      <c r="U98" s="56">
        <v>51.367164373911905</v>
      </c>
      <c r="V98" s="20">
        <f t="shared" si="45"/>
        <v>66.816021702006665</v>
      </c>
      <c r="W98" s="20">
        <f t="shared" si="56"/>
        <v>78.540083988541724</v>
      </c>
      <c r="X98" s="36"/>
      <c r="Y98" s="26"/>
      <c r="Z98" s="26"/>
      <c r="AA98" s="26"/>
      <c r="AB98" s="36"/>
      <c r="AC98" s="29"/>
      <c r="AD98" s="29"/>
      <c r="AE98" s="29"/>
      <c r="AF98" s="29"/>
      <c r="AG98" s="29"/>
      <c r="AH98" s="29"/>
      <c r="AI98" s="26"/>
      <c r="AJ98" s="26"/>
      <c r="AK98" s="26"/>
      <c r="AL98" s="26"/>
      <c r="AM98" s="26"/>
      <c r="AN98" s="26"/>
    </row>
    <row r="99" spans="1:40" x14ac:dyDescent="0.35">
      <c r="A99" s="79">
        <v>1</v>
      </c>
      <c r="B99" s="79">
        <v>77</v>
      </c>
      <c r="C99" s="16" t="str">
        <f t="shared" si="39"/>
        <v>Mon</v>
      </c>
      <c r="D99" s="12">
        <v>44767</v>
      </c>
      <c r="E99">
        <f t="shared" si="54"/>
        <v>49</v>
      </c>
      <c r="F99" s="61">
        <f t="shared" si="46"/>
        <v>168</v>
      </c>
      <c r="G99" s="61">
        <f t="shared" si="40"/>
        <v>37</v>
      </c>
      <c r="H99" s="61">
        <f t="shared" si="47"/>
        <v>77</v>
      </c>
      <c r="I99" s="61">
        <f t="shared" si="48"/>
        <v>45</v>
      </c>
      <c r="J99" s="61">
        <f t="shared" si="49"/>
        <v>0</v>
      </c>
      <c r="K99" s="11">
        <f t="shared" si="50"/>
        <v>0.29166666666666669</v>
      </c>
      <c r="L99" s="11">
        <f t="shared" si="41"/>
        <v>7.0854424718230266E-2</v>
      </c>
      <c r="M99" s="11">
        <f t="shared" si="51"/>
        <v>0.58333333333333337</v>
      </c>
      <c r="N99" s="11">
        <f t="shared" si="42"/>
        <v>0.44162448389687209</v>
      </c>
      <c r="O99" s="11">
        <f t="shared" si="52"/>
        <v>0</v>
      </c>
      <c r="P99" s="11">
        <f t="shared" si="43"/>
        <v>0</v>
      </c>
      <c r="Q99" s="11">
        <f t="shared" si="53"/>
        <v>0.51247890861510237</v>
      </c>
      <c r="R99" s="20">
        <f t="shared" si="44"/>
        <v>0.99999999999999989</v>
      </c>
      <c r="S99" s="56">
        <v>59.583999999999996</v>
      </c>
      <c r="T99" s="56">
        <v>66.45486506343569</v>
      </c>
      <c r="U99" s="56">
        <v>50.339821086433666</v>
      </c>
      <c r="V99" s="20">
        <f t="shared" si="45"/>
        <v>65.504911449340796</v>
      </c>
      <c r="W99" s="20">
        <f>AVERAGE(V94:V98)</f>
        <v>70.695986450339177</v>
      </c>
      <c r="X99" s="36"/>
      <c r="Y99" s="26"/>
      <c r="Z99" s="26"/>
      <c r="AA99" s="26"/>
      <c r="AB99" s="36"/>
      <c r="AC99" s="29"/>
      <c r="AD99" s="29"/>
      <c r="AE99" s="29"/>
      <c r="AF99" s="29"/>
      <c r="AG99" s="29"/>
      <c r="AH99" s="29"/>
      <c r="AI99" s="26"/>
      <c r="AJ99" s="26"/>
      <c r="AK99" s="26"/>
      <c r="AL99" s="26"/>
      <c r="AM99" s="26"/>
      <c r="AN99" s="26"/>
    </row>
    <row r="100" spans="1:40" x14ac:dyDescent="0.35">
      <c r="A100" s="79">
        <v>1</v>
      </c>
      <c r="B100" s="79">
        <v>78</v>
      </c>
      <c r="C100" s="16" t="str">
        <f t="shared" si="39"/>
        <v>Tue</v>
      </c>
      <c r="D100" s="12">
        <v>44768</v>
      </c>
      <c r="E100">
        <f t="shared" si="54"/>
        <v>48</v>
      </c>
      <c r="F100" s="61">
        <f t="shared" si="46"/>
        <v>168</v>
      </c>
      <c r="G100" s="61">
        <f t="shared" si="40"/>
        <v>37</v>
      </c>
      <c r="H100" s="61">
        <f t="shared" si="47"/>
        <v>78</v>
      </c>
      <c r="I100" s="61">
        <f t="shared" si="48"/>
        <v>46</v>
      </c>
      <c r="J100" s="61">
        <f t="shared" si="49"/>
        <v>0</v>
      </c>
      <c r="K100" s="11">
        <f t="shared" si="50"/>
        <v>0.2857142857142857</v>
      </c>
      <c r="L100" s="11">
        <f t="shared" si="41"/>
        <v>6.9408416050511276E-2</v>
      </c>
      <c r="M100" s="11">
        <f t="shared" si="51"/>
        <v>0.5892857142857143</v>
      </c>
      <c r="N100" s="11">
        <f t="shared" si="42"/>
        <v>0.44613085618153403</v>
      </c>
      <c r="O100" s="11">
        <f t="shared" si="52"/>
        <v>0</v>
      </c>
      <c r="P100" s="11">
        <f t="shared" si="43"/>
        <v>0</v>
      </c>
      <c r="Q100" s="11">
        <f t="shared" si="53"/>
        <v>0.51553927223204532</v>
      </c>
      <c r="R100" s="20">
        <f t="shared" si="44"/>
        <v>1</v>
      </c>
      <c r="S100" s="56">
        <v>58.392319999999998</v>
      </c>
      <c r="T100" s="56">
        <v>65.125767762166973</v>
      </c>
      <c r="U100" s="56">
        <v>49.333024664704993</v>
      </c>
      <c r="V100" s="20">
        <f t="shared" si="45"/>
        <v>64.219225876992198</v>
      </c>
      <c r="W100" s="20">
        <f>W99</f>
        <v>70.695986450339177</v>
      </c>
      <c r="X100" s="36"/>
      <c r="Y100" s="26"/>
      <c r="Z100" s="26"/>
      <c r="AA100" s="26"/>
      <c r="AB100" s="36"/>
      <c r="AC100" s="29"/>
      <c r="AD100" s="29"/>
      <c r="AE100" s="29"/>
      <c r="AF100" s="29"/>
      <c r="AG100" s="29"/>
      <c r="AH100" s="29"/>
      <c r="AI100" s="26"/>
      <c r="AJ100" s="26"/>
      <c r="AK100" s="26"/>
      <c r="AL100" s="26"/>
      <c r="AM100" s="26"/>
      <c r="AN100" s="26"/>
    </row>
    <row r="101" spans="1:40" x14ac:dyDescent="0.35">
      <c r="A101" s="79">
        <v>1</v>
      </c>
      <c r="B101" s="79">
        <v>79</v>
      </c>
      <c r="C101" s="16" t="str">
        <f t="shared" si="39"/>
        <v>Wed</v>
      </c>
      <c r="D101" s="12">
        <v>44769</v>
      </c>
      <c r="E101">
        <f t="shared" si="54"/>
        <v>47</v>
      </c>
      <c r="F101" s="61">
        <f t="shared" si="46"/>
        <v>168</v>
      </c>
      <c r="G101" s="61">
        <f t="shared" si="40"/>
        <v>37</v>
      </c>
      <c r="H101" s="61">
        <f t="shared" si="47"/>
        <v>79</v>
      </c>
      <c r="I101" s="61">
        <f t="shared" si="48"/>
        <v>47</v>
      </c>
      <c r="J101" s="61">
        <f t="shared" si="49"/>
        <v>0</v>
      </c>
      <c r="K101" s="11">
        <f t="shared" si="50"/>
        <v>0.27976190476190477</v>
      </c>
      <c r="L101" s="11">
        <f t="shared" si="41"/>
        <v>6.7962407382792286E-2</v>
      </c>
      <c r="M101" s="11">
        <f t="shared" si="51"/>
        <v>0.59523809523809523</v>
      </c>
      <c r="N101" s="11">
        <f t="shared" si="42"/>
        <v>0.45063722846619597</v>
      </c>
      <c r="O101" s="11">
        <f t="shared" si="52"/>
        <v>0</v>
      </c>
      <c r="P101" s="11">
        <f t="shared" si="43"/>
        <v>0</v>
      </c>
      <c r="Q101" s="11">
        <f t="shared" si="53"/>
        <v>0.51859963584898827</v>
      </c>
      <c r="R101" s="20">
        <f t="shared" si="44"/>
        <v>1</v>
      </c>
      <c r="S101" s="56">
        <v>57.224473599999996</v>
      </c>
      <c r="T101" s="56">
        <v>63.823252406923636</v>
      </c>
      <c r="U101" s="56">
        <v>48.34636417141089</v>
      </c>
      <c r="V101" s="20">
        <f t="shared" si="45"/>
        <v>62.95848339725994</v>
      </c>
      <c r="W101" s="20">
        <f t="shared" ref="W101:W103" si="57">W100</f>
        <v>70.695986450339177</v>
      </c>
      <c r="X101" s="36"/>
      <c r="Y101" s="26"/>
      <c r="Z101" s="26"/>
      <c r="AA101" s="26"/>
      <c r="AB101" s="36"/>
      <c r="AC101" s="29"/>
      <c r="AD101" s="29"/>
      <c r="AE101" s="29"/>
      <c r="AF101" s="29"/>
      <c r="AG101" s="29"/>
      <c r="AH101" s="29"/>
      <c r="AI101" s="26"/>
      <c r="AJ101" s="26"/>
      <c r="AK101" s="26"/>
      <c r="AL101" s="26"/>
      <c r="AM101" s="26"/>
      <c r="AN101" s="26"/>
    </row>
    <row r="102" spans="1:40" x14ac:dyDescent="0.35">
      <c r="A102" s="79">
        <v>1</v>
      </c>
      <c r="B102" s="79">
        <v>80</v>
      </c>
      <c r="C102" s="16" t="str">
        <f t="shared" si="39"/>
        <v>Thu</v>
      </c>
      <c r="D102" s="12">
        <v>44770</v>
      </c>
      <c r="E102">
        <f t="shared" si="54"/>
        <v>46</v>
      </c>
      <c r="F102" s="61">
        <f t="shared" si="46"/>
        <v>168</v>
      </c>
      <c r="G102" s="61">
        <f t="shared" si="40"/>
        <v>37</v>
      </c>
      <c r="H102" s="61">
        <f t="shared" si="47"/>
        <v>80</v>
      </c>
      <c r="I102" s="61">
        <f t="shared" si="48"/>
        <v>48</v>
      </c>
      <c r="J102" s="61">
        <f t="shared" si="49"/>
        <v>0</v>
      </c>
      <c r="K102" s="11">
        <f t="shared" si="50"/>
        <v>0.27380952380952384</v>
      </c>
      <c r="L102" s="11">
        <f t="shared" si="41"/>
        <v>6.651639871507331E-2</v>
      </c>
      <c r="M102" s="11">
        <f t="shared" si="51"/>
        <v>0.60119047619047616</v>
      </c>
      <c r="N102" s="11">
        <f t="shared" si="42"/>
        <v>0.45514360075085791</v>
      </c>
      <c r="O102" s="11">
        <f t="shared" si="52"/>
        <v>0</v>
      </c>
      <c r="P102" s="11">
        <f t="shared" si="43"/>
        <v>0</v>
      </c>
      <c r="Q102" s="11">
        <f t="shared" si="53"/>
        <v>0.52165999946593122</v>
      </c>
      <c r="R102" s="20">
        <f t="shared" si="44"/>
        <v>1</v>
      </c>
      <c r="S102" s="56">
        <v>56.079984128</v>
      </c>
      <c r="T102" s="56">
        <v>62.546787358785167</v>
      </c>
      <c r="U102" s="56">
        <v>47.379436887982671</v>
      </c>
      <c r="V102" s="20">
        <f t="shared" si="45"/>
        <v>61.722211078159454</v>
      </c>
      <c r="W102" s="20">
        <f t="shared" si="57"/>
        <v>70.695986450339177</v>
      </c>
      <c r="X102" s="36"/>
      <c r="Y102" s="26"/>
      <c r="Z102" s="26"/>
      <c r="AA102" s="26"/>
      <c r="AB102" s="36"/>
      <c r="AC102" s="29"/>
      <c r="AD102" s="29"/>
      <c r="AE102" s="29"/>
      <c r="AF102" s="29"/>
      <c r="AG102" s="29"/>
      <c r="AH102" s="29"/>
      <c r="AI102" s="26"/>
      <c r="AJ102" s="26"/>
      <c r="AK102" s="26"/>
      <c r="AL102" s="26"/>
      <c r="AM102" s="26"/>
      <c r="AN102" s="26"/>
    </row>
    <row r="103" spans="1:40" x14ac:dyDescent="0.35">
      <c r="A103" s="79">
        <v>1</v>
      </c>
      <c r="B103" s="79">
        <v>81</v>
      </c>
      <c r="C103" s="16" t="str">
        <f t="shared" si="39"/>
        <v>Fri</v>
      </c>
      <c r="D103" s="12">
        <v>44771</v>
      </c>
      <c r="E103">
        <f t="shared" si="54"/>
        <v>45</v>
      </c>
      <c r="F103" s="61">
        <f t="shared" si="46"/>
        <v>168</v>
      </c>
      <c r="G103" s="61">
        <f t="shared" si="40"/>
        <v>37</v>
      </c>
      <c r="H103" s="61">
        <f t="shared" si="47"/>
        <v>81</v>
      </c>
      <c r="I103" s="61">
        <f t="shared" si="48"/>
        <v>49</v>
      </c>
      <c r="J103" s="61">
        <f t="shared" si="49"/>
        <v>0</v>
      </c>
      <c r="K103" s="11">
        <f t="shared" si="50"/>
        <v>0.26785714285714285</v>
      </c>
      <c r="L103" s="11">
        <f t="shared" si="41"/>
        <v>6.5070390047354321E-2</v>
      </c>
      <c r="M103" s="11">
        <f t="shared" si="51"/>
        <v>0.6071428571428571</v>
      </c>
      <c r="N103" s="11">
        <f t="shared" si="42"/>
        <v>0.45964997303551985</v>
      </c>
      <c r="O103" s="11">
        <f t="shared" si="52"/>
        <v>0</v>
      </c>
      <c r="P103" s="11">
        <f t="shared" si="43"/>
        <v>0</v>
      </c>
      <c r="Q103" s="11">
        <f t="shared" si="53"/>
        <v>0.52472036308287417</v>
      </c>
      <c r="R103" s="20">
        <f t="shared" si="44"/>
        <v>1</v>
      </c>
      <c r="S103" s="56">
        <v>54.958384445439997</v>
      </c>
      <c r="T103" s="56">
        <v>61.295851611609464</v>
      </c>
      <c r="U103" s="56">
        <v>53.2</v>
      </c>
      <c r="V103" s="20">
        <f t="shared" si="45"/>
        <v>60.509944508648765</v>
      </c>
      <c r="W103" s="20">
        <f t="shared" si="57"/>
        <v>70.695986450339177</v>
      </c>
      <c r="X103" s="36"/>
      <c r="Y103" s="26"/>
      <c r="Z103" s="26"/>
      <c r="AA103" s="26"/>
      <c r="AB103" s="36"/>
      <c r="AC103" s="29"/>
      <c r="AD103" s="29"/>
      <c r="AE103" s="29"/>
      <c r="AF103" s="29"/>
      <c r="AG103" s="29"/>
      <c r="AH103" s="29"/>
      <c r="AI103" s="26"/>
      <c r="AJ103" s="26"/>
      <c r="AK103" s="26"/>
      <c r="AL103" s="26"/>
      <c r="AM103" s="26"/>
      <c r="AN103" s="26"/>
    </row>
    <row r="104" spans="1:40" x14ac:dyDescent="0.35">
      <c r="A104" s="79">
        <v>1</v>
      </c>
      <c r="B104" s="79">
        <v>82</v>
      </c>
      <c r="C104" s="16" t="str">
        <f t="shared" si="39"/>
        <v>Mon</v>
      </c>
      <c r="D104" s="12">
        <v>44774</v>
      </c>
      <c r="E104">
        <f t="shared" si="54"/>
        <v>44</v>
      </c>
      <c r="F104" s="61">
        <f t="shared" si="46"/>
        <v>168</v>
      </c>
      <c r="G104" s="61">
        <f t="shared" si="40"/>
        <v>37</v>
      </c>
      <c r="H104" s="61">
        <f t="shared" si="47"/>
        <v>82</v>
      </c>
      <c r="I104" s="61">
        <f t="shared" si="48"/>
        <v>50</v>
      </c>
      <c r="J104" s="61">
        <f t="shared" si="49"/>
        <v>0</v>
      </c>
      <c r="K104" s="11">
        <f t="shared" si="50"/>
        <v>0.26190476190476192</v>
      </c>
      <c r="L104" s="11">
        <f t="shared" si="41"/>
        <v>6.3624381379635345E-2</v>
      </c>
      <c r="M104" s="11">
        <f t="shared" si="51"/>
        <v>0.61309523809523814</v>
      </c>
      <c r="N104" s="11">
        <f t="shared" si="42"/>
        <v>0.46415634532018191</v>
      </c>
      <c r="O104" s="11">
        <f t="shared" si="52"/>
        <v>0</v>
      </c>
      <c r="P104" s="11">
        <f t="shared" si="43"/>
        <v>0</v>
      </c>
      <c r="Q104" s="11">
        <f t="shared" si="53"/>
        <v>0.52778072669981724</v>
      </c>
      <c r="R104" s="20">
        <f t="shared" si="44"/>
        <v>1</v>
      </c>
      <c r="S104" s="56">
        <v>53.859216756531197</v>
      </c>
      <c r="T104" s="56">
        <v>60.069934579377275</v>
      </c>
      <c r="U104" s="56">
        <v>52.136000000000003</v>
      </c>
      <c r="V104" s="20">
        <f t="shared" si="45"/>
        <v>59.321227664911248</v>
      </c>
      <c r="W104" s="20">
        <f>AVERAGE(V99:V103)</f>
        <v>62.982955262080239</v>
      </c>
      <c r="X104" s="36"/>
      <c r="Y104" s="26"/>
      <c r="Z104" s="26"/>
      <c r="AA104" s="26"/>
      <c r="AB104" s="36"/>
      <c r="AC104" s="29"/>
      <c r="AD104" s="29"/>
      <c r="AE104" s="29"/>
      <c r="AF104" s="29"/>
      <c r="AG104" s="29"/>
      <c r="AH104" s="29"/>
      <c r="AI104" s="26"/>
      <c r="AJ104" s="26"/>
      <c r="AK104" s="26"/>
      <c r="AL104" s="26"/>
      <c r="AM104" s="26"/>
      <c r="AN104" s="26"/>
    </row>
    <row r="105" spans="1:40" x14ac:dyDescent="0.35">
      <c r="A105" s="79">
        <v>1</v>
      </c>
      <c r="B105" s="79">
        <v>83</v>
      </c>
      <c r="C105" s="16" t="str">
        <f t="shared" si="39"/>
        <v>Tue</v>
      </c>
      <c r="D105" s="12">
        <v>44775</v>
      </c>
      <c r="E105">
        <f t="shared" si="54"/>
        <v>43</v>
      </c>
      <c r="F105" s="61">
        <f t="shared" si="46"/>
        <v>168</v>
      </c>
      <c r="G105" s="61">
        <f t="shared" si="40"/>
        <v>37</v>
      </c>
      <c r="H105" s="61">
        <f t="shared" si="47"/>
        <v>83</v>
      </c>
      <c r="I105" s="61">
        <f t="shared" si="48"/>
        <v>51</v>
      </c>
      <c r="J105" s="61">
        <f t="shared" si="49"/>
        <v>0</v>
      </c>
      <c r="K105" s="11">
        <f t="shared" si="50"/>
        <v>0.25595238095238093</v>
      </c>
      <c r="L105" s="11">
        <f t="shared" si="41"/>
        <v>6.2178372711916348E-2</v>
      </c>
      <c r="M105" s="11">
        <f t="shared" si="51"/>
        <v>0.61904761904761907</v>
      </c>
      <c r="N105" s="11">
        <f t="shared" si="42"/>
        <v>0.46866271760484385</v>
      </c>
      <c r="O105" s="11">
        <f t="shared" si="52"/>
        <v>0</v>
      </c>
      <c r="P105" s="11">
        <f t="shared" si="43"/>
        <v>0</v>
      </c>
      <c r="Q105" s="11">
        <f t="shared" si="53"/>
        <v>0.53084109031676019</v>
      </c>
      <c r="R105" s="20">
        <f t="shared" si="44"/>
        <v>1</v>
      </c>
      <c r="S105" s="56">
        <v>52.782032421400572</v>
      </c>
      <c r="T105" s="56">
        <v>58.868535887789733</v>
      </c>
      <c r="U105" s="56">
        <v>51.09328</v>
      </c>
      <c r="V105" s="20">
        <f t="shared" si="45"/>
        <v>58.15561277774998</v>
      </c>
      <c r="W105" s="20">
        <f>W104</f>
        <v>62.982955262080239</v>
      </c>
      <c r="X105" s="36"/>
      <c r="Y105" s="26"/>
      <c r="Z105" s="26"/>
      <c r="AA105" s="26"/>
      <c r="AB105" s="36"/>
      <c r="AC105" s="29"/>
      <c r="AD105" s="29"/>
      <c r="AE105" s="29"/>
      <c r="AF105" s="29"/>
      <c r="AG105" s="29"/>
      <c r="AH105" s="29"/>
      <c r="AI105" s="26"/>
      <c r="AJ105" s="26"/>
      <c r="AK105" s="26"/>
      <c r="AL105" s="26"/>
      <c r="AM105" s="26"/>
      <c r="AN105" s="26"/>
    </row>
    <row r="106" spans="1:40" x14ac:dyDescent="0.35">
      <c r="A106" s="79">
        <v>1</v>
      </c>
      <c r="B106" s="79">
        <v>84</v>
      </c>
      <c r="C106" s="16" t="str">
        <f t="shared" si="39"/>
        <v>Wed</v>
      </c>
      <c r="D106" s="12">
        <v>44776</v>
      </c>
      <c r="E106">
        <f t="shared" si="54"/>
        <v>42</v>
      </c>
      <c r="F106" s="61">
        <f t="shared" si="46"/>
        <v>168</v>
      </c>
      <c r="G106" s="61">
        <f t="shared" si="40"/>
        <v>37</v>
      </c>
      <c r="H106" s="61">
        <f t="shared" si="47"/>
        <v>84</v>
      </c>
      <c r="I106" s="61">
        <f t="shared" si="48"/>
        <v>52</v>
      </c>
      <c r="J106" s="61">
        <f t="shared" si="49"/>
        <v>0</v>
      </c>
      <c r="K106" s="11">
        <f t="shared" si="50"/>
        <v>0.25</v>
      </c>
      <c r="L106" s="11">
        <f t="shared" si="41"/>
        <v>6.0732364044197365E-2</v>
      </c>
      <c r="M106" s="11">
        <f t="shared" si="51"/>
        <v>0.625</v>
      </c>
      <c r="N106" s="11">
        <f t="shared" si="42"/>
        <v>0.47316908988950579</v>
      </c>
      <c r="O106" s="11">
        <f t="shared" si="52"/>
        <v>0</v>
      </c>
      <c r="P106" s="11">
        <f t="shared" si="43"/>
        <v>0</v>
      </c>
      <c r="Q106" s="11">
        <f t="shared" si="53"/>
        <v>0.53390145393370314</v>
      </c>
      <c r="R106" s="20">
        <f t="shared" si="44"/>
        <v>1</v>
      </c>
      <c r="S106" s="56">
        <v>51.726391772972562</v>
      </c>
      <c r="T106" s="56">
        <v>57.691165170033941</v>
      </c>
      <c r="U106" s="56">
        <v>50.071414400000002</v>
      </c>
      <c r="V106" s="20">
        <f t="shared" si="45"/>
        <v>57.0126602011442</v>
      </c>
      <c r="W106" s="20">
        <f t="shared" ref="W106:W108" si="58">W105</f>
        <v>62.982955262080239</v>
      </c>
      <c r="X106" s="36"/>
      <c r="Y106" s="26"/>
      <c r="Z106" s="26"/>
      <c r="AA106" s="26"/>
      <c r="AB106" s="36"/>
      <c r="AC106" s="29"/>
      <c r="AD106" s="29"/>
      <c r="AE106" s="29"/>
      <c r="AF106" s="29"/>
      <c r="AG106" s="29"/>
      <c r="AH106" s="29"/>
      <c r="AI106" s="26"/>
      <c r="AJ106" s="26"/>
      <c r="AK106" s="26"/>
      <c r="AL106" s="26"/>
      <c r="AM106" s="26"/>
      <c r="AN106" s="26"/>
    </row>
    <row r="107" spans="1:40" x14ac:dyDescent="0.35">
      <c r="A107" s="79">
        <v>1</v>
      </c>
      <c r="B107" s="79">
        <v>85</v>
      </c>
      <c r="C107" s="16" t="str">
        <f t="shared" si="39"/>
        <v>Thu</v>
      </c>
      <c r="D107" s="12">
        <v>44777</v>
      </c>
      <c r="E107">
        <f t="shared" si="54"/>
        <v>41</v>
      </c>
      <c r="F107" s="61">
        <f t="shared" si="46"/>
        <v>168</v>
      </c>
      <c r="G107" s="61">
        <f t="shared" si="40"/>
        <v>37</v>
      </c>
      <c r="H107" s="61">
        <f t="shared" si="47"/>
        <v>85</v>
      </c>
      <c r="I107" s="61">
        <f t="shared" si="48"/>
        <v>53</v>
      </c>
      <c r="J107" s="61">
        <f t="shared" si="49"/>
        <v>0</v>
      </c>
      <c r="K107" s="11">
        <f t="shared" si="50"/>
        <v>0.24404761904761904</v>
      </c>
      <c r="L107" s="11">
        <f t="shared" si="41"/>
        <v>5.9286355376478375E-2</v>
      </c>
      <c r="M107" s="11">
        <f t="shared" si="51"/>
        <v>0.63095238095238093</v>
      </c>
      <c r="N107" s="11">
        <f t="shared" si="42"/>
        <v>0.47767546217416773</v>
      </c>
      <c r="O107" s="11">
        <f t="shared" si="52"/>
        <v>0</v>
      </c>
      <c r="P107" s="11">
        <f t="shared" si="43"/>
        <v>0</v>
      </c>
      <c r="Q107" s="11">
        <f t="shared" si="53"/>
        <v>0.53696181755064609</v>
      </c>
      <c r="R107" s="20">
        <f t="shared" si="44"/>
        <v>1</v>
      </c>
      <c r="S107" s="56">
        <v>50.691863937513112</v>
      </c>
      <c r="T107" s="56">
        <v>45.9</v>
      </c>
      <c r="U107" s="56">
        <v>49.069986112000002</v>
      </c>
      <c r="V107" s="20">
        <f t="shared" si="45"/>
        <v>46.429073276776037</v>
      </c>
      <c r="W107" s="20">
        <f t="shared" si="58"/>
        <v>62.982955262080239</v>
      </c>
      <c r="X107" s="36"/>
      <c r="Y107" s="26"/>
      <c r="Z107" s="26"/>
      <c r="AA107" s="26"/>
      <c r="AB107" s="36"/>
      <c r="AC107" s="29"/>
      <c r="AD107" s="29"/>
      <c r="AE107" s="29"/>
      <c r="AF107" s="29"/>
      <c r="AG107" s="29"/>
      <c r="AH107" s="29"/>
      <c r="AI107" s="26"/>
      <c r="AJ107" s="26"/>
      <c r="AK107" s="26"/>
      <c r="AL107" s="26"/>
      <c r="AM107" s="26"/>
      <c r="AN107" s="26"/>
    </row>
    <row r="108" spans="1:40" x14ac:dyDescent="0.35">
      <c r="A108" s="79">
        <v>1</v>
      </c>
      <c r="B108" s="79">
        <v>86</v>
      </c>
      <c r="C108" s="16" t="str">
        <f t="shared" si="39"/>
        <v>Fri</v>
      </c>
      <c r="D108" s="12">
        <v>44778</v>
      </c>
      <c r="E108">
        <f t="shared" si="54"/>
        <v>40</v>
      </c>
      <c r="F108" s="61">
        <f t="shared" si="46"/>
        <v>168</v>
      </c>
      <c r="G108" s="61">
        <f t="shared" si="40"/>
        <v>37</v>
      </c>
      <c r="H108" s="61">
        <f t="shared" si="47"/>
        <v>86</v>
      </c>
      <c r="I108" s="61">
        <f t="shared" si="48"/>
        <v>54</v>
      </c>
      <c r="J108" s="61">
        <f t="shared" si="49"/>
        <v>0</v>
      </c>
      <c r="K108" s="11">
        <f t="shared" si="50"/>
        <v>0.23809523809523808</v>
      </c>
      <c r="L108" s="11">
        <f t="shared" si="41"/>
        <v>5.7840346708759392E-2</v>
      </c>
      <c r="M108" s="11">
        <f t="shared" si="51"/>
        <v>0.63690476190476186</v>
      </c>
      <c r="N108" s="11">
        <f t="shared" si="42"/>
        <v>0.48218183445882967</v>
      </c>
      <c r="O108" s="11">
        <f t="shared" si="52"/>
        <v>0</v>
      </c>
      <c r="P108" s="11">
        <f t="shared" si="43"/>
        <v>0</v>
      </c>
      <c r="Q108" s="11">
        <f t="shared" si="53"/>
        <v>0.54002218116758904</v>
      </c>
      <c r="R108" s="20">
        <f t="shared" si="44"/>
        <v>1</v>
      </c>
      <c r="S108" s="56">
        <v>49.678026658762853</v>
      </c>
      <c r="T108" s="56">
        <v>44.981999999999999</v>
      </c>
      <c r="U108" s="56">
        <v>48.088586389760003</v>
      </c>
      <c r="V108" s="20">
        <f t="shared" si="45"/>
        <v>45.484978987842958</v>
      </c>
      <c r="W108" s="20">
        <f t="shared" si="58"/>
        <v>62.982955262080239</v>
      </c>
      <c r="X108" s="36"/>
      <c r="Y108" s="26"/>
      <c r="Z108" s="26"/>
      <c r="AA108" s="26"/>
      <c r="AB108" s="36"/>
      <c r="AC108" s="29"/>
      <c r="AD108" s="29"/>
      <c r="AE108" s="29"/>
      <c r="AF108" s="29"/>
      <c r="AG108" s="29"/>
      <c r="AH108" s="29"/>
      <c r="AI108" s="26"/>
      <c r="AJ108" s="26"/>
      <c r="AK108" s="26"/>
      <c r="AL108" s="26"/>
      <c r="AM108" s="26"/>
      <c r="AN108" s="26"/>
    </row>
    <row r="109" spans="1:40" x14ac:dyDescent="0.35">
      <c r="A109" s="79">
        <v>1</v>
      </c>
      <c r="B109" s="79">
        <v>87</v>
      </c>
      <c r="C109" s="16" t="str">
        <f t="shared" si="39"/>
        <v>Mon</v>
      </c>
      <c r="D109" s="12">
        <v>44781</v>
      </c>
      <c r="E109">
        <f t="shared" si="54"/>
        <v>39</v>
      </c>
      <c r="F109" s="61">
        <f t="shared" si="46"/>
        <v>168</v>
      </c>
      <c r="G109" s="61">
        <f t="shared" si="40"/>
        <v>37</v>
      </c>
      <c r="H109" s="61">
        <f t="shared" si="47"/>
        <v>87</v>
      </c>
      <c r="I109" s="61">
        <f t="shared" si="48"/>
        <v>55</v>
      </c>
      <c r="J109" s="61">
        <f t="shared" si="49"/>
        <v>0</v>
      </c>
      <c r="K109" s="11">
        <f t="shared" si="50"/>
        <v>0.23214285714285715</v>
      </c>
      <c r="L109" s="11">
        <f t="shared" si="41"/>
        <v>5.6394338041040409E-2</v>
      </c>
      <c r="M109" s="11">
        <f t="shared" si="51"/>
        <v>0.6428571428571429</v>
      </c>
      <c r="N109" s="11">
        <f t="shared" si="42"/>
        <v>0.48668820674349172</v>
      </c>
      <c r="O109" s="11">
        <f t="shared" si="52"/>
        <v>0</v>
      </c>
      <c r="P109" s="11">
        <f t="shared" si="43"/>
        <v>0</v>
      </c>
      <c r="Q109" s="11">
        <f t="shared" si="53"/>
        <v>0.54308254478453211</v>
      </c>
      <c r="R109" s="20">
        <f t="shared" si="44"/>
        <v>1</v>
      </c>
      <c r="S109" s="56">
        <v>48.684466125587598</v>
      </c>
      <c r="T109" s="56">
        <v>58.2</v>
      </c>
      <c r="U109" s="56">
        <v>47.126814661964801</v>
      </c>
      <c r="V109" s="20">
        <f t="shared" si="45"/>
        <v>57.211895633347069</v>
      </c>
      <c r="W109" s="20">
        <f>AVERAGE(V104:V108)</f>
        <v>53.280710581684886</v>
      </c>
      <c r="X109" s="36"/>
      <c r="Y109" s="26"/>
      <c r="Z109" s="26"/>
      <c r="AA109" s="26"/>
      <c r="AB109" s="36"/>
      <c r="AC109" s="29"/>
      <c r="AD109" s="29"/>
      <c r="AE109" s="29"/>
      <c r="AF109" s="29"/>
      <c r="AG109" s="29"/>
      <c r="AH109" s="29"/>
      <c r="AI109" s="26"/>
      <c r="AJ109" s="26"/>
      <c r="AK109" s="26"/>
      <c r="AL109" s="26"/>
      <c r="AM109" s="26"/>
      <c r="AN109" s="26"/>
    </row>
    <row r="110" spans="1:40" x14ac:dyDescent="0.35">
      <c r="A110" s="79">
        <v>1</v>
      </c>
      <c r="B110" s="79">
        <v>88</v>
      </c>
      <c r="C110" s="16" t="str">
        <f t="shared" si="39"/>
        <v>Tue</v>
      </c>
      <c r="D110" s="12">
        <v>44782</v>
      </c>
      <c r="E110">
        <f t="shared" si="54"/>
        <v>38</v>
      </c>
      <c r="F110" s="61">
        <f t="shared" si="46"/>
        <v>168</v>
      </c>
      <c r="G110" s="61">
        <f t="shared" si="40"/>
        <v>37</v>
      </c>
      <c r="H110" s="61">
        <f t="shared" si="47"/>
        <v>88</v>
      </c>
      <c r="I110" s="61">
        <f t="shared" si="48"/>
        <v>56</v>
      </c>
      <c r="J110" s="61">
        <f t="shared" si="49"/>
        <v>0</v>
      </c>
      <c r="K110" s="11">
        <f t="shared" si="50"/>
        <v>0.22619047619047619</v>
      </c>
      <c r="L110" s="11">
        <f t="shared" si="41"/>
        <v>5.4948329373321426E-2</v>
      </c>
      <c r="M110" s="11">
        <f t="shared" si="51"/>
        <v>0.64880952380952384</v>
      </c>
      <c r="N110" s="11">
        <f t="shared" si="42"/>
        <v>0.49119457902815367</v>
      </c>
      <c r="O110" s="11">
        <f t="shared" si="52"/>
        <v>0</v>
      </c>
      <c r="P110" s="11">
        <f t="shared" si="43"/>
        <v>0</v>
      </c>
      <c r="Q110" s="11">
        <f t="shared" si="53"/>
        <v>0.54614290840147506</v>
      </c>
      <c r="R110" s="20">
        <f t="shared" si="44"/>
        <v>1</v>
      </c>
      <c r="S110" s="56">
        <v>47.710776803075845</v>
      </c>
      <c r="T110" s="56">
        <v>57.036000000000001</v>
      </c>
      <c r="U110" s="56">
        <v>46.184278368725508</v>
      </c>
      <c r="V110" s="20">
        <f t="shared" si="45"/>
        <v>56.097774074474202</v>
      </c>
      <c r="W110" s="20">
        <f>W109</f>
        <v>53.280710581684886</v>
      </c>
      <c r="X110" s="36"/>
      <c r="Y110" s="26"/>
      <c r="Z110" s="26"/>
      <c r="AA110" s="26"/>
      <c r="AB110" s="36"/>
      <c r="AC110" s="29"/>
      <c r="AD110" s="29"/>
      <c r="AE110" s="29"/>
      <c r="AF110" s="29"/>
      <c r="AG110" s="29"/>
      <c r="AH110" s="29"/>
      <c r="AI110" s="26"/>
      <c r="AJ110" s="26"/>
      <c r="AK110" s="26"/>
      <c r="AL110" s="26"/>
      <c r="AM110" s="26"/>
      <c r="AN110" s="26"/>
    </row>
    <row r="111" spans="1:40" x14ac:dyDescent="0.35">
      <c r="A111" s="79">
        <v>1</v>
      </c>
      <c r="B111" s="79">
        <v>89</v>
      </c>
      <c r="C111" s="16" t="str">
        <f t="shared" si="39"/>
        <v>Wed</v>
      </c>
      <c r="D111" s="12">
        <v>44783</v>
      </c>
      <c r="E111">
        <f t="shared" si="54"/>
        <v>37</v>
      </c>
      <c r="F111" s="61">
        <f t="shared" si="46"/>
        <v>168</v>
      </c>
      <c r="G111" s="61">
        <f t="shared" si="40"/>
        <v>37</v>
      </c>
      <c r="H111" s="61">
        <f t="shared" si="47"/>
        <v>89</v>
      </c>
      <c r="I111" s="61">
        <f t="shared" si="48"/>
        <v>57</v>
      </c>
      <c r="J111" s="61">
        <f t="shared" si="49"/>
        <v>0</v>
      </c>
      <c r="K111" s="11">
        <f t="shared" si="50"/>
        <v>0.22023809523809523</v>
      </c>
      <c r="L111" s="11">
        <f t="shared" si="41"/>
        <v>5.3502320705602437E-2</v>
      </c>
      <c r="M111" s="11">
        <f t="shared" si="51"/>
        <v>0.65476190476190477</v>
      </c>
      <c r="N111" s="11">
        <f t="shared" si="42"/>
        <v>0.49570095131281561</v>
      </c>
      <c r="O111" s="11">
        <f t="shared" si="52"/>
        <v>0</v>
      </c>
      <c r="P111" s="11">
        <f t="shared" si="43"/>
        <v>0</v>
      </c>
      <c r="Q111" s="11">
        <f t="shared" si="53"/>
        <v>0.54920327201841801</v>
      </c>
      <c r="R111" s="20">
        <f t="shared" si="44"/>
        <v>1</v>
      </c>
      <c r="S111" s="56">
        <v>46.756561267014327</v>
      </c>
      <c r="T111" s="56">
        <v>55.89528</v>
      </c>
      <c r="U111" s="56">
        <v>45.260592801350995</v>
      </c>
      <c r="V111" s="20">
        <f t="shared" si="45"/>
        <v>55.005003693572426</v>
      </c>
      <c r="W111" s="20">
        <f t="shared" ref="W111:W113" si="59">W110</f>
        <v>53.280710581684886</v>
      </c>
      <c r="X111" s="36"/>
      <c r="Y111" s="26"/>
      <c r="Z111" s="26"/>
      <c r="AA111" s="26"/>
      <c r="AB111" s="36"/>
      <c r="AC111" s="29"/>
      <c r="AD111" s="29"/>
      <c r="AE111" s="29"/>
      <c r="AF111" s="29"/>
      <c r="AG111" s="29"/>
      <c r="AH111" s="29"/>
      <c r="AI111" s="26"/>
      <c r="AJ111" s="26"/>
      <c r="AK111" s="26"/>
      <c r="AL111" s="26"/>
      <c r="AM111" s="26"/>
      <c r="AN111" s="26"/>
    </row>
    <row r="112" spans="1:40" x14ac:dyDescent="0.35">
      <c r="A112" s="79">
        <v>1</v>
      </c>
      <c r="B112" s="79">
        <v>90</v>
      </c>
      <c r="C112" s="16" t="str">
        <f t="shared" si="39"/>
        <v>Thu</v>
      </c>
      <c r="D112" s="12">
        <v>44784</v>
      </c>
      <c r="E112">
        <f t="shared" si="54"/>
        <v>36</v>
      </c>
      <c r="F112" s="61">
        <f t="shared" si="46"/>
        <v>168</v>
      </c>
      <c r="G112" s="61">
        <f t="shared" si="40"/>
        <v>37</v>
      </c>
      <c r="H112" s="61">
        <f t="shared" si="47"/>
        <v>90</v>
      </c>
      <c r="I112" s="61">
        <f t="shared" si="48"/>
        <v>58</v>
      </c>
      <c r="J112" s="61">
        <f t="shared" si="49"/>
        <v>0</v>
      </c>
      <c r="K112" s="11">
        <f t="shared" si="50"/>
        <v>0.21428571428571427</v>
      </c>
      <c r="L112" s="11">
        <f t="shared" si="41"/>
        <v>5.2056312037883454E-2</v>
      </c>
      <c r="M112" s="11">
        <f t="shared" si="51"/>
        <v>0.6607142857142857</v>
      </c>
      <c r="N112" s="11">
        <f t="shared" si="42"/>
        <v>0.50020732359747755</v>
      </c>
      <c r="O112" s="11">
        <f t="shared" si="52"/>
        <v>0</v>
      </c>
      <c r="P112" s="11">
        <f t="shared" si="43"/>
        <v>0</v>
      </c>
      <c r="Q112" s="11">
        <f t="shared" si="53"/>
        <v>0.55226363563536096</v>
      </c>
      <c r="R112" s="20">
        <f t="shared" si="44"/>
        <v>1</v>
      </c>
      <c r="S112" s="56">
        <v>45.821430041674041</v>
      </c>
      <c r="T112" s="56">
        <v>54.777374399999999</v>
      </c>
      <c r="U112" s="56">
        <v>44.355380945323972</v>
      </c>
      <c r="V112" s="20">
        <f t="shared" si="45"/>
        <v>53.93318802952755</v>
      </c>
      <c r="W112" s="20">
        <f t="shared" si="59"/>
        <v>53.280710581684886</v>
      </c>
      <c r="X112" s="36"/>
      <c r="Y112" s="26"/>
      <c r="Z112" s="26"/>
      <c r="AA112" s="26"/>
      <c r="AB112" s="36"/>
      <c r="AC112" s="29"/>
      <c r="AD112" s="29"/>
      <c r="AE112" s="29"/>
      <c r="AF112" s="29"/>
      <c r="AG112" s="29"/>
      <c r="AH112" s="29"/>
      <c r="AI112" s="26"/>
      <c r="AJ112" s="26"/>
      <c r="AK112" s="26"/>
      <c r="AL112" s="26"/>
      <c r="AM112" s="26"/>
      <c r="AN112" s="26"/>
    </row>
    <row r="113" spans="1:40" x14ac:dyDescent="0.35">
      <c r="A113" s="79">
        <v>1</v>
      </c>
      <c r="B113" s="79">
        <v>91</v>
      </c>
      <c r="C113" s="16" t="str">
        <f t="shared" si="39"/>
        <v>Fri</v>
      </c>
      <c r="D113" s="12">
        <v>44785</v>
      </c>
      <c r="E113">
        <f t="shared" si="54"/>
        <v>35</v>
      </c>
      <c r="F113" s="61">
        <f t="shared" si="46"/>
        <v>168</v>
      </c>
      <c r="G113" s="61">
        <f t="shared" si="40"/>
        <v>37</v>
      </c>
      <c r="H113" s="61">
        <f t="shared" si="47"/>
        <v>91</v>
      </c>
      <c r="I113" s="61">
        <f t="shared" si="48"/>
        <v>59</v>
      </c>
      <c r="J113" s="61">
        <f t="shared" si="49"/>
        <v>0</v>
      </c>
      <c r="K113" s="11">
        <f t="shared" si="50"/>
        <v>0.20833333333333334</v>
      </c>
      <c r="L113" s="11">
        <f t="shared" si="41"/>
        <v>5.0610303370164471E-2</v>
      </c>
      <c r="M113" s="11">
        <f t="shared" si="51"/>
        <v>0.66666666666666663</v>
      </c>
      <c r="N113" s="11">
        <f t="shared" si="42"/>
        <v>0.50471369588213943</v>
      </c>
      <c r="O113" s="11">
        <f t="shared" si="52"/>
        <v>0</v>
      </c>
      <c r="P113" s="11">
        <f t="shared" si="43"/>
        <v>0</v>
      </c>
      <c r="Q113" s="11">
        <f t="shared" si="53"/>
        <v>0.55532399925230391</v>
      </c>
      <c r="R113" s="20">
        <f t="shared" si="44"/>
        <v>1</v>
      </c>
      <c r="S113" s="56">
        <v>44.905001440840557</v>
      </c>
      <c r="T113" s="56">
        <v>53.681826911999998</v>
      </c>
      <c r="U113" s="56">
        <v>52.9</v>
      </c>
      <c r="V113" s="20">
        <f t="shared" si="45"/>
        <v>52.881937477506909</v>
      </c>
      <c r="W113" s="20">
        <f t="shared" si="59"/>
        <v>53.280710581684886</v>
      </c>
      <c r="X113" s="36"/>
      <c r="Y113" s="26"/>
      <c r="Z113" s="26"/>
      <c r="AA113" s="26"/>
      <c r="AB113" s="36"/>
      <c r="AC113" s="29"/>
      <c r="AD113" s="29"/>
      <c r="AE113" s="29"/>
      <c r="AF113" s="29"/>
      <c r="AG113" s="29"/>
      <c r="AH113" s="29"/>
      <c r="AI113" s="26"/>
      <c r="AJ113" s="26"/>
      <c r="AK113" s="26"/>
      <c r="AL113" s="26"/>
      <c r="AM113" s="26"/>
      <c r="AN113" s="26"/>
    </row>
    <row r="114" spans="1:40" x14ac:dyDescent="0.35">
      <c r="A114" s="79">
        <v>1</v>
      </c>
      <c r="B114" s="79">
        <v>92</v>
      </c>
      <c r="C114" s="16" t="str">
        <f t="shared" si="39"/>
        <v>Mon</v>
      </c>
      <c r="D114" s="12">
        <v>44788</v>
      </c>
      <c r="E114">
        <f t="shared" si="54"/>
        <v>34</v>
      </c>
      <c r="F114" s="61">
        <f t="shared" si="46"/>
        <v>168</v>
      </c>
      <c r="G114" s="61">
        <f t="shared" si="40"/>
        <v>37</v>
      </c>
      <c r="H114" s="61">
        <f t="shared" si="47"/>
        <v>92</v>
      </c>
      <c r="I114" s="61">
        <f t="shared" si="48"/>
        <v>60</v>
      </c>
      <c r="J114" s="61">
        <f t="shared" si="49"/>
        <v>0</v>
      </c>
      <c r="K114" s="11">
        <f t="shared" si="50"/>
        <v>0.20238095238095238</v>
      </c>
      <c r="L114" s="11">
        <f t="shared" si="41"/>
        <v>4.9164294702445488E-2</v>
      </c>
      <c r="M114" s="11">
        <f t="shared" si="51"/>
        <v>0.67261904761904767</v>
      </c>
      <c r="N114" s="11">
        <f t="shared" si="42"/>
        <v>0.50922006816680154</v>
      </c>
      <c r="O114" s="11">
        <f t="shared" si="52"/>
        <v>0</v>
      </c>
      <c r="P114" s="11">
        <f t="shared" si="43"/>
        <v>0</v>
      </c>
      <c r="Q114" s="11">
        <f t="shared" si="53"/>
        <v>0.55838436286924709</v>
      </c>
      <c r="R114" s="20">
        <f t="shared" si="44"/>
        <v>0.99999999999999989</v>
      </c>
      <c r="S114" s="56">
        <v>44.006901412023744</v>
      </c>
      <c r="T114" s="56">
        <v>52.608190373759996</v>
      </c>
      <c r="U114" s="56">
        <v>51.841999999999999</v>
      </c>
      <c r="V114" s="20">
        <f t="shared" si="45"/>
        <v>51.850869192409654</v>
      </c>
      <c r="W114" s="20">
        <f>AVERAGE(V109:V113)</f>
        <v>55.025959781685629</v>
      </c>
      <c r="X114" s="36"/>
      <c r="Y114" s="26"/>
      <c r="Z114" s="26"/>
      <c r="AA114" s="26"/>
      <c r="AB114" s="36"/>
      <c r="AC114" s="29"/>
      <c r="AD114" s="29"/>
      <c r="AE114" s="29"/>
      <c r="AF114" s="29"/>
      <c r="AG114" s="29"/>
      <c r="AH114" s="29"/>
      <c r="AI114" s="26"/>
      <c r="AJ114" s="26"/>
      <c r="AK114" s="26"/>
      <c r="AL114" s="26"/>
      <c r="AM114" s="26"/>
      <c r="AN114" s="26"/>
    </row>
    <row r="115" spans="1:40" x14ac:dyDescent="0.35">
      <c r="A115" s="79">
        <v>1</v>
      </c>
      <c r="B115" s="79">
        <v>93</v>
      </c>
      <c r="C115" s="16" t="str">
        <f t="shared" si="39"/>
        <v>Tue</v>
      </c>
      <c r="D115" s="12">
        <v>44789</v>
      </c>
      <c r="E115">
        <f t="shared" si="54"/>
        <v>33</v>
      </c>
      <c r="F115" s="61">
        <f t="shared" si="46"/>
        <v>168</v>
      </c>
      <c r="G115" s="61">
        <f t="shared" si="40"/>
        <v>37</v>
      </c>
      <c r="H115" s="61">
        <f t="shared" si="47"/>
        <v>93</v>
      </c>
      <c r="I115" s="61">
        <f t="shared" si="48"/>
        <v>61</v>
      </c>
      <c r="J115" s="61">
        <f t="shared" si="49"/>
        <v>0</v>
      </c>
      <c r="K115" s="11">
        <f t="shared" si="50"/>
        <v>0.19642857142857142</v>
      </c>
      <c r="L115" s="11">
        <f t="shared" si="41"/>
        <v>4.7718286034726498E-2</v>
      </c>
      <c r="M115" s="11">
        <f t="shared" si="51"/>
        <v>0.6785714285714286</v>
      </c>
      <c r="N115" s="11">
        <f t="shared" si="42"/>
        <v>0.51372644045146343</v>
      </c>
      <c r="O115" s="11">
        <f t="shared" si="52"/>
        <v>0</v>
      </c>
      <c r="P115" s="11">
        <f t="shared" si="43"/>
        <v>0</v>
      </c>
      <c r="Q115" s="11">
        <f t="shared" si="53"/>
        <v>0.56144472648618993</v>
      </c>
      <c r="R115" s="20">
        <f t="shared" si="44"/>
        <v>1</v>
      </c>
      <c r="S115" s="56">
        <v>43.12676338378327</v>
      </c>
      <c r="T115" s="56">
        <v>51.556026566284793</v>
      </c>
      <c r="U115" s="56">
        <v>50.805160000000001</v>
      </c>
      <c r="V115" s="20">
        <f t="shared" si="45"/>
        <v>50.839606992586134</v>
      </c>
      <c r="W115" s="20">
        <f>W114</f>
        <v>55.025959781685629</v>
      </c>
      <c r="X115" s="36"/>
      <c r="Y115" s="26"/>
      <c r="Z115" s="26"/>
      <c r="AA115" s="26"/>
      <c r="AB115" s="36"/>
      <c r="AC115" s="29"/>
      <c r="AD115" s="29"/>
      <c r="AE115" s="29"/>
      <c r="AF115" s="29"/>
      <c r="AG115" s="29"/>
      <c r="AH115" s="29"/>
      <c r="AI115" s="26"/>
      <c r="AJ115" s="26"/>
      <c r="AK115" s="26"/>
      <c r="AL115" s="26"/>
      <c r="AM115" s="26"/>
      <c r="AN115" s="26"/>
    </row>
    <row r="116" spans="1:40" x14ac:dyDescent="0.35">
      <c r="A116" s="79">
        <v>1</v>
      </c>
      <c r="B116" s="79">
        <v>94</v>
      </c>
      <c r="C116" s="16" t="str">
        <f t="shared" si="39"/>
        <v>Wed</v>
      </c>
      <c r="D116" s="12">
        <v>44790</v>
      </c>
      <c r="E116">
        <f t="shared" si="54"/>
        <v>32</v>
      </c>
      <c r="F116" s="61">
        <f t="shared" si="46"/>
        <v>168</v>
      </c>
      <c r="G116" s="61">
        <f t="shared" si="40"/>
        <v>37</v>
      </c>
      <c r="H116" s="61">
        <f t="shared" si="47"/>
        <v>94</v>
      </c>
      <c r="I116" s="61">
        <f t="shared" si="48"/>
        <v>62</v>
      </c>
      <c r="J116" s="61">
        <f t="shared" si="49"/>
        <v>0</v>
      </c>
      <c r="K116" s="11">
        <f t="shared" si="50"/>
        <v>0.19047619047619047</v>
      </c>
      <c r="L116" s="11">
        <f t="shared" si="41"/>
        <v>4.6272277367007515E-2</v>
      </c>
      <c r="M116" s="11">
        <f t="shared" si="51"/>
        <v>0.68452380952380953</v>
      </c>
      <c r="N116" s="11">
        <f t="shared" si="42"/>
        <v>0.51823281273612543</v>
      </c>
      <c r="O116" s="11">
        <f t="shared" si="52"/>
        <v>0</v>
      </c>
      <c r="P116" s="11">
        <f t="shared" si="43"/>
        <v>0</v>
      </c>
      <c r="Q116" s="11">
        <f t="shared" si="53"/>
        <v>0.56450509010313299</v>
      </c>
      <c r="R116" s="20">
        <f t="shared" si="44"/>
        <v>0.99999999999999989</v>
      </c>
      <c r="S116" s="56">
        <v>42.264228116107603</v>
      </c>
      <c r="T116" s="56">
        <v>50.524906034959095</v>
      </c>
      <c r="U116" s="56">
        <v>49.789056799999997</v>
      </c>
      <c r="V116" s="20">
        <f t="shared" si="45"/>
        <v>49.84778126389498</v>
      </c>
      <c r="W116" s="20">
        <f t="shared" ref="W116:W118" si="60">W115</f>
        <v>55.025959781685629</v>
      </c>
      <c r="X116" s="36"/>
      <c r="Y116" s="26"/>
      <c r="Z116" s="26"/>
      <c r="AA116" s="26"/>
      <c r="AB116" s="36"/>
      <c r="AC116" s="29"/>
      <c r="AD116" s="29"/>
      <c r="AE116" s="29"/>
      <c r="AF116" s="29"/>
      <c r="AG116" s="29"/>
      <c r="AH116" s="29"/>
      <c r="AI116" s="26"/>
      <c r="AJ116" s="26"/>
      <c r="AK116" s="26"/>
      <c r="AL116" s="26"/>
      <c r="AM116" s="26"/>
      <c r="AN116" s="26"/>
    </row>
    <row r="117" spans="1:40" x14ac:dyDescent="0.35">
      <c r="A117" s="79">
        <v>1</v>
      </c>
      <c r="B117" s="79">
        <v>95</v>
      </c>
      <c r="C117" s="16" t="str">
        <f t="shared" si="39"/>
        <v>Thu</v>
      </c>
      <c r="D117" s="12">
        <v>44791</v>
      </c>
      <c r="E117">
        <f t="shared" si="54"/>
        <v>31</v>
      </c>
      <c r="F117" s="61">
        <f t="shared" si="46"/>
        <v>168</v>
      </c>
      <c r="G117" s="61">
        <f t="shared" si="40"/>
        <v>37</v>
      </c>
      <c r="H117" s="61">
        <f t="shared" si="47"/>
        <v>95</v>
      </c>
      <c r="I117" s="61">
        <f t="shared" si="48"/>
        <v>63</v>
      </c>
      <c r="J117" s="61">
        <f t="shared" si="49"/>
        <v>0</v>
      </c>
      <c r="K117" s="11">
        <f t="shared" si="50"/>
        <v>0.18452380952380953</v>
      </c>
      <c r="L117" s="11">
        <f t="shared" si="41"/>
        <v>4.4826268699288532E-2</v>
      </c>
      <c r="M117" s="11">
        <f t="shared" si="51"/>
        <v>0.69047619047619047</v>
      </c>
      <c r="N117" s="11">
        <f t="shared" si="42"/>
        <v>0.52273918502078731</v>
      </c>
      <c r="O117" s="11">
        <f t="shared" si="52"/>
        <v>0</v>
      </c>
      <c r="P117" s="11">
        <f t="shared" si="43"/>
        <v>0</v>
      </c>
      <c r="Q117" s="11">
        <f t="shared" si="53"/>
        <v>0.56756545372007583</v>
      </c>
      <c r="R117" s="20">
        <f t="shared" si="44"/>
        <v>1</v>
      </c>
      <c r="S117" s="56">
        <v>41.418943553785454</v>
      </c>
      <c r="T117" s="56">
        <v>70.2</v>
      </c>
      <c r="U117" s="56">
        <v>48.793275663999999</v>
      </c>
      <c r="V117" s="20">
        <f t="shared" si="45"/>
        <v>67.92687473973055</v>
      </c>
      <c r="W117" s="20">
        <f t="shared" si="60"/>
        <v>55.025959781685629</v>
      </c>
      <c r="X117" s="36"/>
      <c r="Y117" s="26"/>
      <c r="Z117" s="26"/>
      <c r="AA117" s="26"/>
      <c r="AB117" s="36"/>
      <c r="AC117" s="29"/>
      <c r="AD117" s="29"/>
      <c r="AE117" s="29"/>
      <c r="AF117" s="29"/>
      <c r="AG117" s="29"/>
      <c r="AH117" s="29"/>
      <c r="AI117" s="26"/>
      <c r="AJ117" s="26"/>
      <c r="AK117" s="26"/>
      <c r="AL117" s="26"/>
      <c r="AM117" s="26"/>
      <c r="AN117" s="26"/>
    </row>
    <row r="118" spans="1:40" x14ac:dyDescent="0.35">
      <c r="A118" s="79">
        <v>1</v>
      </c>
      <c r="B118" s="79">
        <v>96</v>
      </c>
      <c r="C118" s="16" t="str">
        <f t="shared" si="39"/>
        <v>Fri</v>
      </c>
      <c r="D118" s="12">
        <v>44792</v>
      </c>
      <c r="E118">
        <f t="shared" si="54"/>
        <v>30</v>
      </c>
      <c r="F118" s="61">
        <f t="shared" si="46"/>
        <v>168</v>
      </c>
      <c r="G118" s="61">
        <f t="shared" si="40"/>
        <v>37</v>
      </c>
      <c r="H118" s="61">
        <f t="shared" si="47"/>
        <v>96</v>
      </c>
      <c r="I118" s="61">
        <f t="shared" si="48"/>
        <v>64</v>
      </c>
      <c r="J118" s="61">
        <f t="shared" si="49"/>
        <v>0</v>
      </c>
      <c r="K118" s="11">
        <f t="shared" si="50"/>
        <v>0.17857142857142858</v>
      </c>
      <c r="L118" s="11">
        <f t="shared" si="41"/>
        <v>4.3380260031569549E-2</v>
      </c>
      <c r="M118" s="11">
        <f t="shared" si="51"/>
        <v>0.6964285714285714</v>
      </c>
      <c r="N118" s="11">
        <f t="shared" si="42"/>
        <v>0.52724555730544931</v>
      </c>
      <c r="O118" s="11">
        <f t="shared" si="52"/>
        <v>0</v>
      </c>
      <c r="P118" s="11">
        <f t="shared" si="43"/>
        <v>0</v>
      </c>
      <c r="Q118" s="11">
        <f t="shared" si="53"/>
        <v>0.57062581733701889</v>
      </c>
      <c r="R118" s="20">
        <f t="shared" si="44"/>
        <v>1</v>
      </c>
      <c r="S118" s="56">
        <v>40.590564682709747</v>
      </c>
      <c r="T118" s="56">
        <v>68.796000000000006</v>
      </c>
      <c r="U118" s="56">
        <v>47.817410150720001</v>
      </c>
      <c r="V118" s="20">
        <f t="shared" si="45"/>
        <v>66.651759271324693</v>
      </c>
      <c r="W118" s="20">
        <f t="shared" si="60"/>
        <v>55.025959781685629</v>
      </c>
      <c r="X118" s="36"/>
      <c r="Y118" s="26"/>
      <c r="Z118" s="26"/>
      <c r="AA118" s="26"/>
      <c r="AB118" s="36"/>
      <c r="AC118" s="29"/>
      <c r="AD118" s="29"/>
      <c r="AE118" s="29"/>
      <c r="AF118" s="29"/>
      <c r="AG118" s="29"/>
      <c r="AH118" s="29"/>
      <c r="AI118" s="26"/>
      <c r="AJ118" s="26"/>
      <c r="AK118" s="26"/>
      <c r="AL118" s="26"/>
      <c r="AM118" s="26"/>
      <c r="AN118" s="26"/>
    </row>
    <row r="119" spans="1:40" x14ac:dyDescent="0.35">
      <c r="A119" s="79">
        <v>1</v>
      </c>
      <c r="B119" s="79">
        <v>97</v>
      </c>
      <c r="C119" s="16" t="str">
        <f t="shared" ref="C119:C147" si="61">TEXT(D119,"ddd")</f>
        <v>Mon</v>
      </c>
      <c r="D119" s="12">
        <v>44795</v>
      </c>
      <c r="E119">
        <f t="shared" si="54"/>
        <v>29</v>
      </c>
      <c r="F119" s="61">
        <f t="shared" si="46"/>
        <v>168</v>
      </c>
      <c r="G119" s="61">
        <f t="shared" ref="G119:G147" si="62">$E$18</f>
        <v>37</v>
      </c>
      <c r="H119" s="61">
        <f t="shared" si="47"/>
        <v>97</v>
      </c>
      <c r="I119" s="61">
        <f t="shared" si="48"/>
        <v>65</v>
      </c>
      <c r="J119" s="61">
        <f t="shared" si="49"/>
        <v>0</v>
      </c>
      <c r="K119" s="11">
        <f t="shared" si="50"/>
        <v>0.17261904761904762</v>
      </c>
      <c r="L119" s="11">
        <f t="shared" ref="L119:L147" si="63">K119*$D$6</f>
        <v>4.193425136385056E-2</v>
      </c>
      <c r="M119" s="11">
        <f t="shared" si="51"/>
        <v>0.70238095238095233</v>
      </c>
      <c r="N119" s="11">
        <f t="shared" ref="N119:N147" si="64">M119*$D$7</f>
        <v>0.53175192959011119</v>
      </c>
      <c r="O119" s="11">
        <f t="shared" si="52"/>
        <v>0</v>
      </c>
      <c r="P119" s="11">
        <f t="shared" ref="P119:P147" si="65">O119*$D$6</f>
        <v>0</v>
      </c>
      <c r="Q119" s="11">
        <f t="shared" si="53"/>
        <v>0.57368618095396173</v>
      </c>
      <c r="R119" s="20">
        <f t="shared" ref="R119:R147" si="66">(L119/Q119)+(N119/Q119)+(P119/Q119)</f>
        <v>1</v>
      </c>
      <c r="S119" s="56">
        <v>39.778753389055552</v>
      </c>
      <c r="T119" s="56">
        <v>67.420080000000013</v>
      </c>
      <c r="U119" s="56">
        <v>46.861061947705601</v>
      </c>
      <c r="V119" s="20">
        <f t="shared" ref="V119:V147" si="67">((S119*L119)+(T119*N119)+(U119*P119))/(L119+N119+P119)</f>
        <v>65.399605432866139</v>
      </c>
      <c r="W119" s="20">
        <f>AVERAGE(V114:V118)</f>
        <v>57.423378291989209</v>
      </c>
      <c r="X119" s="36"/>
      <c r="Y119" s="26"/>
      <c r="Z119" s="26"/>
      <c r="AA119" s="26"/>
      <c r="AB119" s="36"/>
      <c r="AC119" s="29"/>
      <c r="AD119" s="29"/>
      <c r="AE119" s="29"/>
      <c r="AF119" s="29"/>
      <c r="AG119" s="29"/>
      <c r="AH119" s="29"/>
      <c r="AI119" s="26"/>
      <c r="AJ119" s="26"/>
      <c r="AK119" s="26"/>
      <c r="AL119" s="26"/>
      <c r="AM119" s="26"/>
      <c r="AN119" s="26"/>
    </row>
    <row r="120" spans="1:40" x14ac:dyDescent="0.35">
      <c r="A120" s="79">
        <v>1</v>
      </c>
      <c r="B120" s="79">
        <v>98</v>
      </c>
      <c r="C120" s="16" t="str">
        <f t="shared" si="61"/>
        <v>Tue</v>
      </c>
      <c r="D120" s="12">
        <v>44796</v>
      </c>
      <c r="E120">
        <f t="shared" si="54"/>
        <v>28</v>
      </c>
      <c r="F120" s="61">
        <f t="shared" si="46"/>
        <v>168</v>
      </c>
      <c r="G120" s="61">
        <f t="shared" si="62"/>
        <v>37</v>
      </c>
      <c r="H120" s="61">
        <f t="shared" si="47"/>
        <v>98</v>
      </c>
      <c r="I120" s="61">
        <f t="shared" si="48"/>
        <v>66</v>
      </c>
      <c r="J120" s="61">
        <f t="shared" si="49"/>
        <v>0</v>
      </c>
      <c r="K120" s="11">
        <f t="shared" si="50"/>
        <v>0.16666666666666666</v>
      </c>
      <c r="L120" s="11">
        <f t="shared" si="63"/>
        <v>4.0488242696131577E-2</v>
      </c>
      <c r="M120" s="11">
        <f t="shared" si="51"/>
        <v>0.70833333333333337</v>
      </c>
      <c r="N120" s="11">
        <f t="shared" si="64"/>
        <v>0.5362583018747733</v>
      </c>
      <c r="O120" s="11">
        <f t="shared" si="52"/>
        <v>0</v>
      </c>
      <c r="P120" s="11">
        <f t="shared" si="65"/>
        <v>0</v>
      </c>
      <c r="Q120" s="11">
        <f t="shared" si="53"/>
        <v>0.57674654457090491</v>
      </c>
      <c r="R120" s="20">
        <f t="shared" si="66"/>
        <v>1</v>
      </c>
      <c r="S120" s="56">
        <v>38.983178321274444</v>
      </c>
      <c r="T120" s="56">
        <v>66.07167840000001</v>
      </c>
      <c r="U120" s="56">
        <v>45.923840708751491</v>
      </c>
      <c r="V120" s="20">
        <f t="shared" si="67"/>
        <v>64.170035857386068</v>
      </c>
      <c r="W120" s="20">
        <f>W119</f>
        <v>57.423378291989209</v>
      </c>
      <c r="X120" s="36"/>
      <c r="Y120" s="26"/>
      <c r="Z120" s="26"/>
      <c r="AA120" s="26"/>
      <c r="AB120" s="36"/>
      <c r="AC120" s="29"/>
      <c r="AD120" s="29"/>
      <c r="AE120" s="29"/>
      <c r="AF120" s="29"/>
      <c r="AG120" s="29"/>
      <c r="AH120" s="29"/>
      <c r="AI120" s="26"/>
      <c r="AJ120" s="26"/>
      <c r="AK120" s="26"/>
      <c r="AL120" s="26"/>
      <c r="AM120" s="26"/>
      <c r="AN120" s="26"/>
    </row>
    <row r="121" spans="1:40" x14ac:dyDescent="0.35">
      <c r="A121" s="79">
        <v>1</v>
      </c>
      <c r="B121" s="79">
        <v>99</v>
      </c>
      <c r="C121" s="16" t="str">
        <f t="shared" si="61"/>
        <v>Wed</v>
      </c>
      <c r="D121" s="12">
        <v>44797</v>
      </c>
      <c r="E121">
        <f t="shared" si="54"/>
        <v>27</v>
      </c>
      <c r="F121" s="61">
        <f t="shared" si="46"/>
        <v>168</v>
      </c>
      <c r="G121" s="61">
        <f t="shared" si="62"/>
        <v>37</v>
      </c>
      <c r="H121" s="61">
        <f t="shared" si="47"/>
        <v>99</v>
      </c>
      <c r="I121" s="61">
        <f t="shared" si="48"/>
        <v>67</v>
      </c>
      <c r="J121" s="61">
        <f t="shared" si="49"/>
        <v>0</v>
      </c>
      <c r="K121" s="11">
        <f t="shared" si="50"/>
        <v>0.16071428571428573</v>
      </c>
      <c r="L121" s="11">
        <f t="shared" si="63"/>
        <v>3.9042234028412594E-2</v>
      </c>
      <c r="M121" s="11">
        <f t="shared" si="51"/>
        <v>0.7142857142857143</v>
      </c>
      <c r="N121" s="11">
        <f t="shared" si="64"/>
        <v>0.54076467415943519</v>
      </c>
      <c r="O121" s="11">
        <f t="shared" si="52"/>
        <v>0</v>
      </c>
      <c r="P121" s="11">
        <f t="shared" si="65"/>
        <v>0</v>
      </c>
      <c r="Q121" s="11">
        <f t="shared" si="53"/>
        <v>0.57980690818784775</v>
      </c>
      <c r="R121" s="20">
        <f t="shared" si="66"/>
        <v>1</v>
      </c>
      <c r="S121" s="56">
        <v>38.203514754848953</v>
      </c>
      <c r="T121" s="56">
        <v>64.750244832000007</v>
      </c>
      <c r="U121" s="56">
        <v>45.005363894576462</v>
      </c>
      <c r="V121" s="20">
        <f t="shared" si="67"/>
        <v>62.962677913212211</v>
      </c>
      <c r="W121" s="20">
        <f t="shared" ref="W121:W123" si="68">W120</f>
        <v>57.423378291989209</v>
      </c>
      <c r="X121" s="36"/>
      <c r="Y121" s="26"/>
      <c r="Z121" s="26"/>
      <c r="AA121" s="26"/>
      <c r="AB121" s="36"/>
      <c r="AC121" s="29"/>
      <c r="AD121" s="29"/>
      <c r="AE121" s="29"/>
      <c r="AF121" s="29"/>
      <c r="AG121" s="29"/>
      <c r="AH121" s="29"/>
      <c r="AI121" s="26"/>
      <c r="AJ121" s="26"/>
      <c r="AK121" s="26"/>
      <c r="AL121" s="26"/>
      <c r="AM121" s="26"/>
      <c r="AN121" s="26"/>
    </row>
    <row r="122" spans="1:40" x14ac:dyDescent="0.35">
      <c r="A122" s="79">
        <v>1</v>
      </c>
      <c r="B122" s="79">
        <v>100</v>
      </c>
      <c r="C122" s="16" t="str">
        <f t="shared" si="61"/>
        <v>Thu</v>
      </c>
      <c r="D122" s="12">
        <v>44798</v>
      </c>
      <c r="E122">
        <f t="shared" si="54"/>
        <v>26</v>
      </c>
      <c r="F122" s="61">
        <f t="shared" si="46"/>
        <v>168</v>
      </c>
      <c r="G122" s="61">
        <f t="shared" si="62"/>
        <v>37</v>
      </c>
      <c r="H122" s="61">
        <f t="shared" si="47"/>
        <v>100</v>
      </c>
      <c r="I122" s="61">
        <f t="shared" si="48"/>
        <v>68</v>
      </c>
      <c r="J122" s="61">
        <f t="shared" si="49"/>
        <v>0</v>
      </c>
      <c r="K122" s="11">
        <f t="shared" si="50"/>
        <v>0.15476190476190477</v>
      </c>
      <c r="L122" s="11">
        <f t="shared" si="63"/>
        <v>3.7596225360693611E-2</v>
      </c>
      <c r="M122" s="11">
        <f t="shared" si="51"/>
        <v>0.72023809523809523</v>
      </c>
      <c r="N122" s="11">
        <f t="shared" si="64"/>
        <v>0.54527104644409718</v>
      </c>
      <c r="O122" s="11">
        <f t="shared" si="52"/>
        <v>0</v>
      </c>
      <c r="P122" s="11">
        <f t="shared" si="65"/>
        <v>0</v>
      </c>
      <c r="Q122" s="11">
        <f t="shared" si="53"/>
        <v>0.58286727180479081</v>
      </c>
      <c r="R122" s="20">
        <f t="shared" si="66"/>
        <v>1</v>
      </c>
      <c r="S122" s="56">
        <v>37.439444459751975</v>
      </c>
      <c r="T122" s="56">
        <v>63.455239935360005</v>
      </c>
      <c r="U122" s="56">
        <v>44.105256616684933</v>
      </c>
      <c r="V122" s="20">
        <f t="shared" si="67"/>
        <v>61.777163712946468</v>
      </c>
      <c r="W122" s="20">
        <f t="shared" si="68"/>
        <v>57.423378291989209</v>
      </c>
      <c r="X122" s="36"/>
      <c r="Y122" s="26"/>
      <c r="Z122" s="26"/>
      <c r="AA122" s="26"/>
      <c r="AB122" s="36"/>
      <c r="AC122" s="29"/>
      <c r="AD122" s="29"/>
      <c r="AE122" s="29"/>
      <c r="AF122" s="29"/>
      <c r="AG122" s="29"/>
      <c r="AH122" s="29"/>
      <c r="AI122" s="26"/>
      <c r="AJ122" s="26"/>
      <c r="AK122" s="26"/>
      <c r="AL122" s="26"/>
      <c r="AM122" s="26"/>
      <c r="AN122" s="26"/>
    </row>
    <row r="123" spans="1:40" x14ac:dyDescent="0.35">
      <c r="A123" s="79">
        <v>1</v>
      </c>
      <c r="B123" s="79">
        <v>101</v>
      </c>
      <c r="C123" s="16" t="str">
        <f t="shared" si="61"/>
        <v>Fri</v>
      </c>
      <c r="D123" s="12">
        <v>44799</v>
      </c>
      <c r="E123">
        <f t="shared" si="54"/>
        <v>25</v>
      </c>
      <c r="F123" s="61">
        <f t="shared" si="46"/>
        <v>168</v>
      </c>
      <c r="G123" s="61">
        <f t="shared" si="62"/>
        <v>37</v>
      </c>
      <c r="H123" s="61">
        <f t="shared" si="47"/>
        <v>101</v>
      </c>
      <c r="I123" s="61">
        <f t="shared" si="48"/>
        <v>69</v>
      </c>
      <c r="J123" s="61">
        <f t="shared" si="49"/>
        <v>0</v>
      </c>
      <c r="K123" s="11">
        <f t="shared" si="50"/>
        <v>0.14880952380952381</v>
      </c>
      <c r="L123" s="11">
        <f t="shared" si="63"/>
        <v>3.6150216692974621E-2</v>
      </c>
      <c r="M123" s="11">
        <f t="shared" si="51"/>
        <v>0.72619047619047616</v>
      </c>
      <c r="N123" s="11">
        <f t="shared" si="64"/>
        <v>0.54977741872875907</v>
      </c>
      <c r="O123" s="11">
        <f t="shared" si="52"/>
        <v>0</v>
      </c>
      <c r="P123" s="11">
        <f t="shared" si="65"/>
        <v>0</v>
      </c>
      <c r="Q123" s="11">
        <f t="shared" si="53"/>
        <v>0.58592763542173365</v>
      </c>
      <c r="R123" s="20">
        <f t="shared" si="66"/>
        <v>1</v>
      </c>
      <c r="S123" s="56">
        <v>36.690655570556935</v>
      </c>
      <c r="T123" s="56">
        <v>62.186135136652808</v>
      </c>
      <c r="U123" s="56">
        <v>43.223151484351234</v>
      </c>
      <c r="V123" s="20">
        <f t="shared" si="67"/>
        <v>60.613130118136695</v>
      </c>
      <c r="W123" s="20">
        <f t="shared" si="68"/>
        <v>57.423378291989209</v>
      </c>
      <c r="X123" s="36"/>
      <c r="Y123" s="26"/>
      <c r="Z123" s="26"/>
      <c r="AA123" s="26"/>
      <c r="AB123" s="36"/>
      <c r="AC123" s="29"/>
      <c r="AD123" s="29"/>
      <c r="AE123" s="29"/>
      <c r="AF123" s="29"/>
      <c r="AG123" s="29"/>
      <c r="AH123" s="29"/>
      <c r="AI123" s="26"/>
      <c r="AJ123" s="26"/>
      <c r="AK123" s="26"/>
      <c r="AL123" s="26"/>
      <c r="AM123" s="26"/>
      <c r="AN123" s="26"/>
    </row>
    <row r="124" spans="1:40" x14ac:dyDescent="0.35">
      <c r="A124" s="79">
        <v>1</v>
      </c>
      <c r="B124" s="79">
        <v>102</v>
      </c>
      <c r="C124" s="16" t="str">
        <f t="shared" si="61"/>
        <v>Tue</v>
      </c>
      <c r="D124" s="12">
        <v>44803</v>
      </c>
      <c r="E124">
        <f t="shared" si="54"/>
        <v>24</v>
      </c>
      <c r="F124" s="61">
        <f t="shared" si="46"/>
        <v>168</v>
      </c>
      <c r="G124" s="61">
        <f t="shared" si="62"/>
        <v>37</v>
      </c>
      <c r="H124" s="61">
        <f t="shared" si="47"/>
        <v>102</v>
      </c>
      <c r="I124" s="61">
        <f t="shared" si="48"/>
        <v>70</v>
      </c>
      <c r="J124" s="61">
        <f t="shared" si="49"/>
        <v>0</v>
      </c>
      <c r="K124" s="11">
        <f t="shared" si="50"/>
        <v>0.14285714285714285</v>
      </c>
      <c r="L124" s="11">
        <f t="shared" si="63"/>
        <v>3.4704208025255638E-2</v>
      </c>
      <c r="M124" s="11">
        <f t="shared" si="51"/>
        <v>0.7321428571428571</v>
      </c>
      <c r="N124" s="11">
        <f t="shared" si="64"/>
        <v>0.55428379101342107</v>
      </c>
      <c r="O124" s="11">
        <f t="shared" si="52"/>
        <v>0</v>
      </c>
      <c r="P124" s="11">
        <f t="shared" si="65"/>
        <v>0</v>
      </c>
      <c r="Q124" s="11">
        <f t="shared" si="53"/>
        <v>0.58898799903867671</v>
      </c>
      <c r="R124" s="20">
        <f t="shared" si="66"/>
        <v>1</v>
      </c>
      <c r="S124" s="56">
        <v>35.956842459145797</v>
      </c>
      <c r="T124" s="56">
        <v>60.942412433919749</v>
      </c>
      <c r="U124" s="56">
        <v>42.358688454664211</v>
      </c>
      <c r="V124" s="20">
        <f t="shared" si="67"/>
        <v>59.470218739906635</v>
      </c>
      <c r="W124" s="20">
        <f>AVERAGE(V119:V123)</f>
        <v>62.984522606909515</v>
      </c>
      <c r="X124" s="36"/>
      <c r="Y124" s="26"/>
      <c r="Z124" s="26"/>
      <c r="AA124" s="26"/>
      <c r="AB124" s="36"/>
      <c r="AC124" s="29"/>
      <c r="AD124" s="29"/>
      <c r="AE124" s="29"/>
      <c r="AF124" s="29"/>
      <c r="AG124" s="29"/>
      <c r="AH124" s="29"/>
      <c r="AI124" s="26"/>
      <c r="AJ124" s="26"/>
      <c r="AK124" s="26"/>
      <c r="AL124" s="26"/>
      <c r="AM124" s="26"/>
      <c r="AN124" s="26"/>
    </row>
    <row r="125" spans="1:40" x14ac:dyDescent="0.35">
      <c r="A125" s="79">
        <v>1</v>
      </c>
      <c r="B125" s="79">
        <v>103</v>
      </c>
      <c r="C125" s="16" t="str">
        <f t="shared" si="61"/>
        <v>Wed</v>
      </c>
      <c r="D125" s="12">
        <v>44804</v>
      </c>
      <c r="E125">
        <f t="shared" si="54"/>
        <v>23</v>
      </c>
      <c r="F125" s="61">
        <f t="shared" si="46"/>
        <v>168</v>
      </c>
      <c r="G125" s="61">
        <f t="shared" si="62"/>
        <v>37</v>
      </c>
      <c r="H125" s="61">
        <f t="shared" si="47"/>
        <v>103</v>
      </c>
      <c r="I125" s="61">
        <f t="shared" si="48"/>
        <v>71</v>
      </c>
      <c r="J125" s="61">
        <f t="shared" si="49"/>
        <v>0</v>
      </c>
      <c r="K125" s="11">
        <f t="shared" si="50"/>
        <v>0.13690476190476192</v>
      </c>
      <c r="L125" s="11">
        <f t="shared" si="63"/>
        <v>3.3258199357536655E-2</v>
      </c>
      <c r="M125" s="11">
        <f t="shared" si="51"/>
        <v>0.73809523809523814</v>
      </c>
      <c r="N125" s="11">
        <f t="shared" si="64"/>
        <v>0.55879016329808306</v>
      </c>
      <c r="O125" s="11">
        <f t="shared" si="52"/>
        <v>0</v>
      </c>
      <c r="P125" s="11">
        <f t="shared" si="65"/>
        <v>0</v>
      </c>
      <c r="Q125" s="11">
        <f t="shared" si="53"/>
        <v>0.59204836265561966</v>
      </c>
      <c r="R125" s="20">
        <f t="shared" si="66"/>
        <v>1</v>
      </c>
      <c r="S125" s="56">
        <v>35.23770560996288</v>
      </c>
      <c r="T125" s="56">
        <v>59.723564185241351</v>
      </c>
      <c r="U125" s="56">
        <v>41.51151468557093</v>
      </c>
      <c r="V125" s="20">
        <f t="shared" si="67"/>
        <v>58.34807593579449</v>
      </c>
      <c r="W125" s="20">
        <f>W124</f>
        <v>62.984522606909515</v>
      </c>
      <c r="X125" s="36"/>
      <c r="Y125" s="26"/>
      <c r="Z125" s="26"/>
      <c r="AA125" s="26"/>
      <c r="AB125" s="36"/>
      <c r="AC125" s="29"/>
      <c r="AD125" s="29"/>
      <c r="AE125" s="29"/>
      <c r="AF125" s="29"/>
      <c r="AG125" s="29"/>
      <c r="AH125" s="29"/>
      <c r="AI125" s="26"/>
      <c r="AJ125" s="26"/>
      <c r="AK125" s="26"/>
      <c r="AL125" s="26"/>
      <c r="AM125" s="26"/>
      <c r="AN125" s="26"/>
    </row>
    <row r="126" spans="1:40" x14ac:dyDescent="0.35">
      <c r="A126" s="79">
        <v>1</v>
      </c>
      <c r="B126" s="79">
        <v>104</v>
      </c>
      <c r="C126" s="16" t="str">
        <f t="shared" si="61"/>
        <v>Thu</v>
      </c>
      <c r="D126" s="12">
        <v>44805</v>
      </c>
      <c r="E126">
        <f t="shared" si="54"/>
        <v>22</v>
      </c>
      <c r="F126" s="61">
        <f t="shared" si="46"/>
        <v>168</v>
      </c>
      <c r="G126" s="61">
        <f t="shared" si="62"/>
        <v>37</v>
      </c>
      <c r="H126" s="61">
        <f t="shared" si="47"/>
        <v>104</v>
      </c>
      <c r="I126" s="61">
        <f t="shared" si="48"/>
        <v>72</v>
      </c>
      <c r="J126" s="61">
        <f t="shared" si="49"/>
        <v>1</v>
      </c>
      <c r="K126" s="11">
        <f t="shared" si="50"/>
        <v>0.13095238095238096</v>
      </c>
      <c r="L126" s="11">
        <f t="shared" si="63"/>
        <v>3.1812190689817672E-2</v>
      </c>
      <c r="M126" s="11">
        <f t="shared" si="51"/>
        <v>0.73809523809523814</v>
      </c>
      <c r="N126" s="11">
        <f t="shared" si="64"/>
        <v>0.55879016329808306</v>
      </c>
      <c r="O126" s="11">
        <f t="shared" si="52"/>
        <v>5.9523809523809521E-3</v>
      </c>
      <c r="P126" s="11">
        <f t="shared" si="65"/>
        <v>1.4460086677189849E-3</v>
      </c>
      <c r="Q126" s="11">
        <f t="shared" si="53"/>
        <v>0.59204836265561966</v>
      </c>
      <c r="R126" s="20">
        <f t="shared" si="66"/>
        <v>1</v>
      </c>
      <c r="S126" s="56">
        <v>34.532951497763619</v>
      </c>
      <c r="T126" s="56">
        <v>58.529092901536522</v>
      </c>
      <c r="U126" s="56">
        <v>40.681284391859514</v>
      </c>
      <c r="V126" s="20">
        <f t="shared" si="67"/>
        <v>57.196130998860887</v>
      </c>
      <c r="W126" s="20">
        <f t="shared" ref="W126:W127" si="69">W125</f>
        <v>62.984522606909515</v>
      </c>
      <c r="X126" s="36"/>
      <c r="Y126" s="26"/>
      <c r="Z126" s="26"/>
      <c r="AA126" s="26"/>
      <c r="AB126" s="36"/>
      <c r="AC126" s="29"/>
      <c r="AD126" s="29"/>
      <c r="AE126" s="29"/>
      <c r="AF126" s="29"/>
      <c r="AG126" s="29"/>
      <c r="AH126" s="29"/>
      <c r="AI126" s="26"/>
      <c r="AJ126" s="26"/>
      <c r="AK126" s="26"/>
      <c r="AL126" s="26"/>
      <c r="AM126" s="26"/>
      <c r="AN126" s="26"/>
    </row>
    <row r="127" spans="1:40" x14ac:dyDescent="0.35">
      <c r="A127" s="79">
        <v>1</v>
      </c>
      <c r="B127" s="79">
        <v>105</v>
      </c>
      <c r="C127" s="16" t="str">
        <f t="shared" si="61"/>
        <v>Fri</v>
      </c>
      <c r="D127" s="12">
        <v>44806</v>
      </c>
      <c r="E127">
        <f t="shared" si="54"/>
        <v>21</v>
      </c>
      <c r="F127" s="61">
        <f t="shared" si="46"/>
        <v>168</v>
      </c>
      <c r="G127" s="61">
        <f t="shared" si="62"/>
        <v>37</v>
      </c>
      <c r="H127" s="61">
        <f t="shared" si="47"/>
        <v>105</v>
      </c>
      <c r="I127" s="61">
        <f t="shared" si="48"/>
        <v>73</v>
      </c>
      <c r="J127" s="61">
        <f t="shared" si="49"/>
        <v>2</v>
      </c>
      <c r="K127" s="11">
        <f t="shared" si="50"/>
        <v>0.125</v>
      </c>
      <c r="L127" s="11">
        <f t="shared" si="63"/>
        <v>3.0366182022098683E-2</v>
      </c>
      <c r="M127" s="11">
        <f t="shared" si="51"/>
        <v>0.73809523809523814</v>
      </c>
      <c r="N127" s="11">
        <f t="shared" si="64"/>
        <v>0.55879016329808306</v>
      </c>
      <c r="O127" s="11">
        <f t="shared" si="52"/>
        <v>1.1904761904761904E-2</v>
      </c>
      <c r="P127" s="11">
        <f t="shared" si="65"/>
        <v>2.8920173354379697E-3</v>
      </c>
      <c r="Q127" s="11">
        <f t="shared" si="53"/>
        <v>0.59204836265561978</v>
      </c>
      <c r="R127" s="20">
        <f t="shared" si="66"/>
        <v>0.99999999999999989</v>
      </c>
      <c r="S127" s="56">
        <v>33.842292467808349</v>
      </c>
      <c r="T127" s="56">
        <v>57.358511043505793</v>
      </c>
      <c r="U127" s="56">
        <v>39.867658704022325</v>
      </c>
      <c r="V127" s="20">
        <f t="shared" si="67"/>
        <v>56.066924629030289</v>
      </c>
      <c r="W127" s="20">
        <f t="shared" si="69"/>
        <v>62.984522606909515</v>
      </c>
      <c r="X127" s="36"/>
      <c r="Y127" s="26"/>
      <c r="Z127" s="26"/>
      <c r="AA127" s="26"/>
      <c r="AB127" s="36"/>
      <c r="AC127" s="29"/>
      <c r="AD127" s="29"/>
      <c r="AE127" s="29"/>
      <c r="AF127" s="29"/>
      <c r="AG127" s="29"/>
      <c r="AH127" s="29"/>
      <c r="AI127" s="26"/>
      <c r="AJ127" s="26"/>
      <c r="AK127" s="26"/>
      <c r="AL127" s="26"/>
      <c r="AM127" s="26"/>
      <c r="AN127" s="26"/>
    </row>
    <row r="128" spans="1:40" x14ac:dyDescent="0.35">
      <c r="A128" s="79">
        <v>1</v>
      </c>
      <c r="B128" s="79">
        <v>106</v>
      </c>
      <c r="C128" s="16" t="str">
        <f t="shared" si="61"/>
        <v>Mon</v>
      </c>
      <c r="D128" s="12">
        <v>44809</v>
      </c>
      <c r="E128">
        <f t="shared" si="54"/>
        <v>20</v>
      </c>
      <c r="F128" s="61">
        <f t="shared" si="46"/>
        <v>168</v>
      </c>
      <c r="G128" s="61">
        <f t="shared" si="62"/>
        <v>37</v>
      </c>
      <c r="H128" s="61">
        <f t="shared" si="47"/>
        <v>106</v>
      </c>
      <c r="I128" s="61">
        <f t="shared" si="48"/>
        <v>74</v>
      </c>
      <c r="J128" s="61">
        <f t="shared" si="49"/>
        <v>3</v>
      </c>
      <c r="K128" s="11">
        <f t="shared" si="50"/>
        <v>0.11904761904761904</v>
      </c>
      <c r="L128" s="11">
        <f t="shared" si="63"/>
        <v>2.8920173354379696E-2</v>
      </c>
      <c r="M128" s="11">
        <f t="shared" si="51"/>
        <v>0.73809523809523814</v>
      </c>
      <c r="N128" s="11">
        <f t="shared" si="64"/>
        <v>0.55879016329808306</v>
      </c>
      <c r="O128" s="11">
        <f t="shared" si="52"/>
        <v>1.7857142857142856E-2</v>
      </c>
      <c r="P128" s="11">
        <f t="shared" si="65"/>
        <v>4.3380260031569548E-3</v>
      </c>
      <c r="Q128" s="11">
        <f t="shared" si="53"/>
        <v>0.59204836265561966</v>
      </c>
      <c r="R128" s="20">
        <f t="shared" si="66"/>
        <v>1</v>
      </c>
      <c r="S128" s="56">
        <v>33.165446618452179</v>
      </c>
      <c r="T128" s="56">
        <v>56.211340822635677</v>
      </c>
      <c r="U128" s="56">
        <v>39.070305529941876</v>
      </c>
      <c r="V128" s="20">
        <f t="shared" si="67"/>
        <v>54.960008061593399</v>
      </c>
      <c r="W128" s="20">
        <f>AVERAGE(V124:V127)</f>
        <v>57.770337575898075</v>
      </c>
      <c r="X128" s="36"/>
      <c r="Y128" s="26"/>
      <c r="Z128" s="26"/>
      <c r="AA128" s="26"/>
      <c r="AB128" s="36"/>
      <c r="AC128" s="29"/>
      <c r="AD128" s="29"/>
      <c r="AE128" s="29"/>
      <c r="AF128" s="29"/>
      <c r="AG128" s="29"/>
      <c r="AH128" s="29"/>
      <c r="AI128" s="26"/>
      <c r="AJ128" s="26"/>
      <c r="AK128" s="26"/>
      <c r="AL128" s="26"/>
      <c r="AM128" s="26"/>
      <c r="AN128" s="26"/>
    </row>
    <row r="129" spans="1:40" x14ac:dyDescent="0.35">
      <c r="A129" s="79">
        <v>1</v>
      </c>
      <c r="B129" s="79">
        <v>107</v>
      </c>
      <c r="C129" s="16" t="str">
        <f t="shared" si="61"/>
        <v>Tue</v>
      </c>
      <c r="D129" s="12">
        <v>44810</v>
      </c>
      <c r="E129">
        <f t="shared" si="54"/>
        <v>19</v>
      </c>
      <c r="F129" s="61">
        <f t="shared" si="46"/>
        <v>168</v>
      </c>
      <c r="G129" s="61">
        <f t="shared" si="62"/>
        <v>37</v>
      </c>
      <c r="H129" s="61">
        <f t="shared" si="47"/>
        <v>107</v>
      </c>
      <c r="I129" s="61">
        <f t="shared" si="48"/>
        <v>75</v>
      </c>
      <c r="J129" s="61">
        <f t="shared" si="49"/>
        <v>4</v>
      </c>
      <c r="K129" s="11">
        <f t="shared" si="50"/>
        <v>0.1130952380952381</v>
      </c>
      <c r="L129" s="11">
        <f t="shared" si="63"/>
        <v>2.7474164686660713E-2</v>
      </c>
      <c r="M129" s="11">
        <f t="shared" si="51"/>
        <v>0.73809523809523814</v>
      </c>
      <c r="N129" s="11">
        <f t="shared" si="64"/>
        <v>0.55879016329808306</v>
      </c>
      <c r="O129" s="11">
        <f t="shared" si="52"/>
        <v>2.3809523809523808E-2</v>
      </c>
      <c r="P129" s="11">
        <f t="shared" si="65"/>
        <v>5.7840346708759394E-3</v>
      </c>
      <c r="Q129" s="11">
        <f t="shared" si="53"/>
        <v>0.59204836265561978</v>
      </c>
      <c r="R129" s="20">
        <f t="shared" si="66"/>
        <v>1</v>
      </c>
      <c r="S129" s="56">
        <v>32.502137686083138</v>
      </c>
      <c r="T129" s="56">
        <v>55.087114006182965</v>
      </c>
      <c r="U129" s="56">
        <v>38.288899419343039</v>
      </c>
      <c r="V129" s="20">
        <f t="shared" si="67"/>
        <v>53.874941387002352</v>
      </c>
      <c r="W129" s="20">
        <f>W128</f>
        <v>57.770337575898075</v>
      </c>
      <c r="X129" s="36"/>
      <c r="Y129" s="26"/>
      <c r="Z129" s="26"/>
      <c r="AA129" s="26"/>
      <c r="AB129" s="36"/>
      <c r="AC129" s="29"/>
      <c r="AD129" s="29"/>
      <c r="AE129" s="29"/>
      <c r="AF129" s="29"/>
      <c r="AG129" s="29"/>
      <c r="AH129" s="29"/>
      <c r="AI129" s="26"/>
      <c r="AJ129" s="26"/>
      <c r="AK129" s="26"/>
      <c r="AL129" s="26"/>
      <c r="AM129" s="26"/>
      <c r="AN129" s="26"/>
    </row>
    <row r="130" spans="1:40" x14ac:dyDescent="0.35">
      <c r="A130" s="79">
        <v>1</v>
      </c>
      <c r="B130" s="79">
        <v>108</v>
      </c>
      <c r="C130" s="16" t="str">
        <f t="shared" si="61"/>
        <v>Wed</v>
      </c>
      <c r="D130" s="12">
        <v>44811</v>
      </c>
      <c r="E130">
        <f t="shared" si="54"/>
        <v>18</v>
      </c>
      <c r="F130" s="61">
        <f t="shared" si="46"/>
        <v>168</v>
      </c>
      <c r="G130" s="61">
        <f t="shared" si="62"/>
        <v>37</v>
      </c>
      <c r="H130" s="61">
        <f t="shared" si="47"/>
        <v>108</v>
      </c>
      <c r="I130" s="61">
        <f t="shared" si="48"/>
        <v>76</v>
      </c>
      <c r="J130" s="61">
        <f t="shared" si="49"/>
        <v>5</v>
      </c>
      <c r="K130" s="11">
        <f t="shared" si="50"/>
        <v>0.10714285714285714</v>
      </c>
      <c r="L130" s="11">
        <f t="shared" si="63"/>
        <v>2.6028156018941727E-2</v>
      </c>
      <c r="M130" s="11">
        <f t="shared" si="51"/>
        <v>0.73809523809523814</v>
      </c>
      <c r="N130" s="11">
        <f t="shared" si="64"/>
        <v>0.55879016329808306</v>
      </c>
      <c r="O130" s="11">
        <f t="shared" si="52"/>
        <v>2.976190476190476E-2</v>
      </c>
      <c r="P130" s="11">
        <f t="shared" si="65"/>
        <v>7.230043338594924E-3</v>
      </c>
      <c r="Q130" s="11">
        <f t="shared" si="53"/>
        <v>0.59204836265561966</v>
      </c>
      <c r="R130" s="20">
        <f t="shared" si="66"/>
        <v>1</v>
      </c>
      <c r="S130" s="56">
        <v>45.9</v>
      </c>
      <c r="T130" s="56">
        <v>45.3</v>
      </c>
      <c r="U130" s="56">
        <v>37.523121430956181</v>
      </c>
      <c r="V130" s="20">
        <f t="shared" si="67"/>
        <v>45.231407165286882</v>
      </c>
      <c r="W130" s="20">
        <f>W129</f>
        <v>57.770337575898075</v>
      </c>
      <c r="X130" s="36"/>
      <c r="Y130" s="26"/>
      <c r="Z130" s="26"/>
      <c r="AA130" s="26"/>
      <c r="AB130" s="36"/>
      <c r="AC130" s="29"/>
      <c r="AD130" s="29"/>
      <c r="AE130" s="29"/>
      <c r="AF130" s="29"/>
      <c r="AG130" s="29"/>
      <c r="AH130" s="29"/>
      <c r="AI130" s="26"/>
      <c r="AJ130" s="26"/>
      <c r="AK130" s="26"/>
      <c r="AL130" s="26"/>
      <c r="AM130" s="26"/>
      <c r="AN130" s="26"/>
    </row>
    <row r="131" spans="1:40" x14ac:dyDescent="0.35">
      <c r="A131" s="79">
        <v>1</v>
      </c>
      <c r="B131" s="79">
        <v>109</v>
      </c>
      <c r="C131" s="16" t="str">
        <f t="shared" si="61"/>
        <v>Thu</v>
      </c>
      <c r="D131" s="12">
        <v>44812</v>
      </c>
      <c r="E131">
        <f t="shared" si="54"/>
        <v>17</v>
      </c>
      <c r="F131" s="61">
        <f t="shared" si="46"/>
        <v>168</v>
      </c>
      <c r="G131" s="61">
        <f t="shared" si="62"/>
        <v>37</v>
      </c>
      <c r="H131" s="61">
        <f t="shared" si="47"/>
        <v>109</v>
      </c>
      <c r="I131" s="61">
        <f t="shared" si="48"/>
        <v>77</v>
      </c>
      <c r="J131" s="61">
        <f t="shared" si="49"/>
        <v>6</v>
      </c>
      <c r="K131" s="11">
        <f t="shared" si="50"/>
        <v>0.10119047619047619</v>
      </c>
      <c r="L131" s="11">
        <f t="shared" si="63"/>
        <v>2.4582147351222744E-2</v>
      </c>
      <c r="M131" s="11">
        <f t="shared" si="51"/>
        <v>0.73809523809523814</v>
      </c>
      <c r="N131" s="11">
        <f t="shared" si="64"/>
        <v>0.55879016329808306</v>
      </c>
      <c r="O131" s="11">
        <f t="shared" si="52"/>
        <v>3.5714285714285712E-2</v>
      </c>
      <c r="P131" s="11">
        <f t="shared" si="65"/>
        <v>8.6760520063139095E-3</v>
      </c>
      <c r="Q131" s="11">
        <f t="shared" si="53"/>
        <v>0.59204836265561978</v>
      </c>
      <c r="R131" s="20">
        <f t="shared" si="66"/>
        <v>1</v>
      </c>
      <c r="S131" s="56">
        <v>44.981999999999999</v>
      </c>
      <c r="T131" s="56">
        <v>44.393999999999998</v>
      </c>
      <c r="U131" s="56">
        <v>36.772659002337058</v>
      </c>
      <c r="V131" s="20">
        <f t="shared" si="67"/>
        <v>44.306728669699723</v>
      </c>
      <c r="W131" s="20">
        <f>W130</f>
        <v>57.770337575898075</v>
      </c>
      <c r="X131" s="36"/>
      <c r="Y131" s="26"/>
      <c r="Z131" s="26"/>
      <c r="AA131" s="26"/>
      <c r="AB131" s="36"/>
      <c r="AC131" s="29"/>
      <c r="AD131" s="29"/>
      <c r="AE131" s="29"/>
      <c r="AF131" s="29"/>
      <c r="AG131" s="29"/>
      <c r="AH131" s="29"/>
      <c r="AI131" s="26"/>
      <c r="AJ131" s="26"/>
      <c r="AK131" s="26"/>
      <c r="AL131" s="26"/>
      <c r="AM131" s="26"/>
      <c r="AN131" s="26"/>
    </row>
    <row r="132" spans="1:40" x14ac:dyDescent="0.35">
      <c r="A132" s="79">
        <v>1</v>
      </c>
      <c r="B132" s="79">
        <v>110</v>
      </c>
      <c r="C132" s="16" t="str">
        <f t="shared" si="61"/>
        <v>Fri</v>
      </c>
      <c r="D132" s="12">
        <v>44813</v>
      </c>
      <c r="E132">
        <f t="shared" si="54"/>
        <v>16</v>
      </c>
      <c r="F132" s="61">
        <f t="shared" si="46"/>
        <v>168</v>
      </c>
      <c r="G132" s="61">
        <f t="shared" si="62"/>
        <v>37</v>
      </c>
      <c r="H132" s="61">
        <f t="shared" si="47"/>
        <v>110</v>
      </c>
      <c r="I132" s="61">
        <f t="shared" si="48"/>
        <v>78</v>
      </c>
      <c r="J132" s="61">
        <f t="shared" si="49"/>
        <v>7</v>
      </c>
      <c r="K132" s="11">
        <f t="shared" si="50"/>
        <v>9.5238095238095233E-2</v>
      </c>
      <c r="L132" s="11">
        <f t="shared" si="63"/>
        <v>2.3136138683503758E-2</v>
      </c>
      <c r="M132" s="11">
        <f t="shared" si="51"/>
        <v>0.73809523809523814</v>
      </c>
      <c r="N132" s="11">
        <f t="shared" si="64"/>
        <v>0.55879016329808306</v>
      </c>
      <c r="O132" s="11">
        <f t="shared" si="52"/>
        <v>4.1666666666666664E-2</v>
      </c>
      <c r="P132" s="11">
        <f t="shared" si="65"/>
        <v>1.0122060674032894E-2</v>
      </c>
      <c r="Q132" s="11">
        <f t="shared" si="53"/>
        <v>0.59204836265561966</v>
      </c>
      <c r="R132" s="20">
        <f t="shared" si="66"/>
        <v>1</v>
      </c>
      <c r="S132" s="56">
        <v>44.082360000000001</v>
      </c>
      <c r="T132" s="56">
        <v>43.506119999999996</v>
      </c>
      <c r="U132" s="56">
        <v>36.037205822290318</v>
      </c>
      <c r="V132" s="20">
        <f t="shared" si="67"/>
        <v>43.400944751069943</v>
      </c>
      <c r="W132" s="20">
        <f>W131</f>
        <v>57.770337575898075</v>
      </c>
      <c r="X132" s="36"/>
      <c r="Y132" s="26"/>
      <c r="Z132" s="26"/>
      <c r="AA132" s="26"/>
      <c r="AB132" s="36"/>
      <c r="AC132" s="29"/>
      <c r="AD132" s="29"/>
      <c r="AE132" s="29"/>
      <c r="AF132" s="29"/>
      <c r="AG132" s="29"/>
      <c r="AH132" s="29"/>
      <c r="AI132" s="26"/>
      <c r="AJ132" s="26"/>
      <c r="AK132" s="26"/>
      <c r="AL132" s="26"/>
      <c r="AM132" s="26"/>
      <c r="AN132" s="26"/>
    </row>
    <row r="133" spans="1:40" x14ac:dyDescent="0.35">
      <c r="A133" s="79">
        <v>1</v>
      </c>
      <c r="B133" s="79">
        <v>111</v>
      </c>
      <c r="C133" s="16" t="str">
        <f t="shared" si="61"/>
        <v>Mon</v>
      </c>
      <c r="D133" s="12">
        <v>44816</v>
      </c>
      <c r="E133">
        <f t="shared" si="54"/>
        <v>15</v>
      </c>
      <c r="F133" s="61">
        <f t="shared" si="46"/>
        <v>168</v>
      </c>
      <c r="G133" s="61">
        <f t="shared" si="62"/>
        <v>37</v>
      </c>
      <c r="H133" s="61">
        <f t="shared" si="47"/>
        <v>111</v>
      </c>
      <c r="I133" s="61">
        <f t="shared" si="48"/>
        <v>79</v>
      </c>
      <c r="J133" s="61">
        <f t="shared" si="49"/>
        <v>8</v>
      </c>
      <c r="K133" s="11">
        <f t="shared" si="50"/>
        <v>8.9285714285714288E-2</v>
      </c>
      <c r="L133" s="11">
        <f t="shared" si="63"/>
        <v>2.1690130015784775E-2</v>
      </c>
      <c r="M133" s="11">
        <f t="shared" si="51"/>
        <v>0.73809523809523814</v>
      </c>
      <c r="N133" s="11">
        <f t="shared" si="64"/>
        <v>0.55879016329808306</v>
      </c>
      <c r="O133" s="11">
        <f t="shared" si="52"/>
        <v>4.7619047619047616E-2</v>
      </c>
      <c r="P133" s="11">
        <f t="shared" si="65"/>
        <v>1.1568069341751879E-2</v>
      </c>
      <c r="Q133" s="11">
        <f t="shared" si="53"/>
        <v>0.59204836265561978</v>
      </c>
      <c r="R133" s="20">
        <f t="shared" si="66"/>
        <v>1</v>
      </c>
      <c r="S133" s="56">
        <v>43.200712799999998</v>
      </c>
      <c r="T133" s="56">
        <v>42.635997599999996</v>
      </c>
      <c r="U133" s="56">
        <v>35.31646170584451</v>
      </c>
      <c r="V133" s="20">
        <f t="shared" si="67"/>
        <v>42.513669497717459</v>
      </c>
      <c r="W133" s="20">
        <f>AVERAGE(V128:V132)</f>
        <v>48.354806006930467</v>
      </c>
      <c r="X133" s="36"/>
      <c r="Y133" s="26"/>
      <c r="Z133" s="26"/>
      <c r="AA133" s="26"/>
      <c r="AB133" s="36"/>
      <c r="AC133" s="29"/>
      <c r="AD133" s="29"/>
      <c r="AE133" s="29"/>
      <c r="AF133" s="29"/>
      <c r="AG133" s="29"/>
      <c r="AH133" s="29"/>
      <c r="AI133" s="26"/>
      <c r="AJ133" s="26"/>
      <c r="AK133" s="26"/>
      <c r="AL133" s="26"/>
      <c r="AM133" s="26"/>
      <c r="AN133" s="26"/>
    </row>
    <row r="134" spans="1:40" x14ac:dyDescent="0.35">
      <c r="A134" s="79">
        <v>1</v>
      </c>
      <c r="B134" s="79">
        <v>112</v>
      </c>
      <c r="C134" s="16" t="str">
        <f t="shared" si="61"/>
        <v>Tue</v>
      </c>
      <c r="D134" s="12">
        <v>44817</v>
      </c>
      <c r="E134">
        <f t="shared" si="54"/>
        <v>14</v>
      </c>
      <c r="F134" s="61">
        <f t="shared" si="46"/>
        <v>168</v>
      </c>
      <c r="G134" s="61">
        <f t="shared" si="62"/>
        <v>37</v>
      </c>
      <c r="H134" s="61">
        <f t="shared" si="47"/>
        <v>112</v>
      </c>
      <c r="I134" s="61">
        <f t="shared" si="48"/>
        <v>80</v>
      </c>
      <c r="J134" s="61">
        <f t="shared" si="49"/>
        <v>9</v>
      </c>
      <c r="K134" s="11">
        <f t="shared" si="50"/>
        <v>8.3333333333333329E-2</v>
      </c>
      <c r="L134" s="11">
        <f t="shared" si="63"/>
        <v>2.0244121348065788E-2</v>
      </c>
      <c r="M134" s="11">
        <f t="shared" si="51"/>
        <v>0.73809523809523814</v>
      </c>
      <c r="N134" s="11">
        <f t="shared" si="64"/>
        <v>0.55879016329808306</v>
      </c>
      <c r="O134" s="11">
        <f t="shared" si="52"/>
        <v>5.3571428571428568E-2</v>
      </c>
      <c r="P134" s="11">
        <f t="shared" si="65"/>
        <v>1.3014078009470863E-2</v>
      </c>
      <c r="Q134" s="11">
        <f t="shared" si="53"/>
        <v>0.59204836265561966</v>
      </c>
      <c r="R134" s="20">
        <f t="shared" si="66"/>
        <v>1</v>
      </c>
      <c r="S134" s="56">
        <v>42.336698544000001</v>
      </c>
      <c r="T134" s="56">
        <v>35.4</v>
      </c>
      <c r="U134" s="56">
        <v>34.610132471727617</v>
      </c>
      <c r="V134" s="20">
        <f t="shared" si="67"/>
        <v>35.619826584547624</v>
      </c>
      <c r="W134" s="20">
        <f>W133</f>
        <v>48.354806006930467</v>
      </c>
      <c r="X134" s="36"/>
      <c r="Y134" s="26"/>
      <c r="Z134" s="26"/>
      <c r="AA134" s="26"/>
      <c r="AB134" s="36"/>
      <c r="AC134" s="29"/>
      <c r="AD134" s="29"/>
      <c r="AE134" s="29"/>
      <c r="AF134" s="29"/>
      <c r="AG134" s="29"/>
      <c r="AH134" s="29"/>
      <c r="AI134" s="26"/>
      <c r="AJ134" s="26"/>
      <c r="AK134" s="26"/>
      <c r="AL134" s="26"/>
      <c r="AM134" s="26"/>
      <c r="AN134" s="26"/>
    </row>
    <row r="135" spans="1:40" x14ac:dyDescent="0.35">
      <c r="A135" s="79">
        <v>1</v>
      </c>
      <c r="B135" s="79">
        <v>113</v>
      </c>
      <c r="C135" s="16" t="str">
        <f t="shared" si="61"/>
        <v>Wed</v>
      </c>
      <c r="D135" s="12">
        <v>44818</v>
      </c>
      <c r="E135">
        <f t="shared" si="54"/>
        <v>13</v>
      </c>
      <c r="F135" s="61">
        <f t="shared" si="46"/>
        <v>168</v>
      </c>
      <c r="G135" s="61">
        <f t="shared" si="62"/>
        <v>37</v>
      </c>
      <c r="H135" s="61">
        <f t="shared" si="47"/>
        <v>113</v>
      </c>
      <c r="I135" s="61">
        <f t="shared" si="48"/>
        <v>81</v>
      </c>
      <c r="J135" s="61">
        <f t="shared" si="49"/>
        <v>10</v>
      </c>
      <c r="K135" s="11">
        <f t="shared" si="50"/>
        <v>7.7380952380952384E-2</v>
      </c>
      <c r="L135" s="11">
        <f t="shared" si="63"/>
        <v>1.8798112680346805E-2</v>
      </c>
      <c r="M135" s="11">
        <f t="shared" si="51"/>
        <v>0.73809523809523814</v>
      </c>
      <c r="N135" s="11">
        <f t="shared" si="64"/>
        <v>0.55879016329808306</v>
      </c>
      <c r="O135" s="11">
        <f t="shared" si="52"/>
        <v>5.9523809523809521E-2</v>
      </c>
      <c r="P135" s="11">
        <f t="shared" si="65"/>
        <v>1.4460086677189848E-2</v>
      </c>
      <c r="Q135" s="11">
        <f t="shared" si="53"/>
        <v>0.59204836265561978</v>
      </c>
      <c r="R135" s="20">
        <f t="shared" si="66"/>
        <v>1</v>
      </c>
      <c r="S135" s="56">
        <v>41.489964573119998</v>
      </c>
      <c r="T135" s="56">
        <v>34.692</v>
      </c>
      <c r="U135" s="56">
        <v>33.917929822293061</v>
      </c>
      <c r="V135" s="20">
        <f t="shared" si="67"/>
        <v>34.888936246315517</v>
      </c>
      <c r="W135" s="20">
        <f>W134</f>
        <v>48.354806006930467</v>
      </c>
      <c r="X135" s="36"/>
      <c r="Y135" s="26"/>
      <c r="Z135" s="26"/>
      <c r="AA135" s="26"/>
      <c r="AB135" s="36"/>
      <c r="AC135" s="29"/>
      <c r="AD135" s="29"/>
      <c r="AE135" s="29"/>
      <c r="AF135" s="29"/>
      <c r="AG135" s="29"/>
      <c r="AH135" s="29"/>
      <c r="AI135" s="26"/>
      <c r="AJ135" s="26"/>
      <c r="AK135" s="26"/>
      <c r="AL135" s="26"/>
      <c r="AM135" s="26"/>
      <c r="AN135" s="26"/>
    </row>
    <row r="136" spans="1:40" x14ac:dyDescent="0.35">
      <c r="A136" s="79">
        <v>1</v>
      </c>
      <c r="B136" s="79">
        <v>114</v>
      </c>
      <c r="C136" s="16" t="str">
        <f t="shared" si="61"/>
        <v>Thu</v>
      </c>
      <c r="D136" s="12">
        <v>44819</v>
      </c>
      <c r="E136">
        <f t="shared" si="54"/>
        <v>12</v>
      </c>
      <c r="F136" s="61">
        <f t="shared" si="46"/>
        <v>168</v>
      </c>
      <c r="G136" s="61">
        <f t="shared" si="62"/>
        <v>37</v>
      </c>
      <c r="H136" s="61">
        <f t="shared" si="47"/>
        <v>114</v>
      </c>
      <c r="I136" s="61">
        <f t="shared" si="48"/>
        <v>82</v>
      </c>
      <c r="J136" s="61">
        <f t="shared" si="49"/>
        <v>11</v>
      </c>
      <c r="K136" s="11">
        <f t="shared" si="50"/>
        <v>7.1428571428571425E-2</v>
      </c>
      <c r="L136" s="11">
        <f t="shared" si="63"/>
        <v>1.7352104012627819E-2</v>
      </c>
      <c r="M136" s="11">
        <f t="shared" si="51"/>
        <v>0.73809523809523814</v>
      </c>
      <c r="N136" s="11">
        <f t="shared" si="64"/>
        <v>0.55879016329808306</v>
      </c>
      <c r="O136" s="11">
        <f t="shared" si="52"/>
        <v>6.5476190476190479E-2</v>
      </c>
      <c r="P136" s="11">
        <f t="shared" si="65"/>
        <v>1.5906095344908836E-2</v>
      </c>
      <c r="Q136" s="11">
        <f t="shared" si="53"/>
        <v>0.59204836265561966</v>
      </c>
      <c r="R136" s="20">
        <f t="shared" si="66"/>
        <v>1</v>
      </c>
      <c r="S136" s="56">
        <v>40.660165281657598</v>
      </c>
      <c r="T136" s="56">
        <v>33.998159999999999</v>
      </c>
      <c r="U136" s="56">
        <v>42.9</v>
      </c>
      <c r="V136" s="20">
        <f t="shared" si="67"/>
        <v>34.432572694279713</v>
      </c>
      <c r="W136" s="20">
        <f>W135</f>
        <v>48.354806006930467</v>
      </c>
      <c r="X136" s="36"/>
      <c r="Y136" s="26"/>
      <c r="Z136" s="26"/>
      <c r="AA136" s="26"/>
      <c r="AB136" s="36"/>
      <c r="AC136" s="29"/>
      <c r="AD136" s="29"/>
      <c r="AE136" s="29"/>
      <c r="AF136" s="29"/>
      <c r="AG136" s="29"/>
      <c r="AH136" s="29"/>
      <c r="AI136" s="26"/>
      <c r="AJ136" s="26"/>
      <c r="AK136" s="26"/>
      <c r="AL136" s="26"/>
      <c r="AM136" s="26"/>
      <c r="AN136" s="26"/>
    </row>
    <row r="137" spans="1:40" x14ac:dyDescent="0.35">
      <c r="A137" s="79">
        <v>1</v>
      </c>
      <c r="B137" s="79">
        <v>115</v>
      </c>
      <c r="C137" s="16" t="str">
        <f t="shared" si="61"/>
        <v>Fri</v>
      </c>
      <c r="D137" s="12">
        <v>44820</v>
      </c>
      <c r="E137">
        <f t="shared" si="54"/>
        <v>11</v>
      </c>
      <c r="F137" s="61">
        <f t="shared" si="46"/>
        <v>168</v>
      </c>
      <c r="G137" s="61">
        <f t="shared" si="62"/>
        <v>37</v>
      </c>
      <c r="H137" s="61">
        <f t="shared" si="47"/>
        <v>115</v>
      </c>
      <c r="I137" s="61">
        <f t="shared" si="48"/>
        <v>83</v>
      </c>
      <c r="J137" s="61">
        <f t="shared" si="49"/>
        <v>12</v>
      </c>
      <c r="K137" s="11">
        <f t="shared" si="50"/>
        <v>6.5476190476190479E-2</v>
      </c>
      <c r="L137" s="11">
        <f t="shared" si="63"/>
        <v>1.5906095344908836E-2</v>
      </c>
      <c r="M137" s="11">
        <f t="shared" si="51"/>
        <v>0.73809523809523814</v>
      </c>
      <c r="N137" s="11">
        <f t="shared" si="64"/>
        <v>0.55879016329808306</v>
      </c>
      <c r="O137" s="11">
        <f t="shared" si="52"/>
        <v>7.1428571428571425E-2</v>
      </c>
      <c r="P137" s="11">
        <f t="shared" si="65"/>
        <v>1.7352104012627819E-2</v>
      </c>
      <c r="Q137" s="11">
        <f t="shared" si="53"/>
        <v>0.59204836265561966</v>
      </c>
      <c r="R137" s="20">
        <f t="shared" si="66"/>
        <v>1</v>
      </c>
      <c r="S137" s="56">
        <v>39.846961976024446</v>
      </c>
      <c r="T137" s="56">
        <v>33.318196799999996</v>
      </c>
      <c r="U137" s="56">
        <v>42.042000000000002</v>
      </c>
      <c r="V137" s="20">
        <f t="shared" si="67"/>
        <v>33.749282363249705</v>
      </c>
      <c r="W137" s="20">
        <f>W136</f>
        <v>48.354806006930467</v>
      </c>
      <c r="X137" s="36"/>
      <c r="Y137" s="26"/>
      <c r="Z137" s="26"/>
      <c r="AA137" s="26"/>
      <c r="AB137" s="36"/>
      <c r="AC137" s="29"/>
      <c r="AD137" s="29"/>
      <c r="AE137" s="29"/>
      <c r="AF137" s="29"/>
      <c r="AG137" s="29"/>
      <c r="AH137" s="29"/>
      <c r="AI137" s="26"/>
      <c r="AJ137" s="26"/>
      <c r="AK137" s="26"/>
      <c r="AL137" s="26"/>
      <c r="AM137" s="26"/>
      <c r="AN137" s="26"/>
    </row>
    <row r="138" spans="1:40" x14ac:dyDescent="0.35">
      <c r="A138" s="79">
        <v>1</v>
      </c>
      <c r="B138" s="79">
        <v>116</v>
      </c>
      <c r="C138" s="16" t="str">
        <f t="shared" si="61"/>
        <v>Mon</v>
      </c>
      <c r="D138" s="12">
        <v>44823</v>
      </c>
      <c r="E138">
        <f t="shared" si="54"/>
        <v>10</v>
      </c>
      <c r="F138" s="61">
        <f t="shared" si="46"/>
        <v>168</v>
      </c>
      <c r="G138" s="61">
        <f t="shared" si="62"/>
        <v>37</v>
      </c>
      <c r="H138" s="61">
        <f t="shared" si="47"/>
        <v>116</v>
      </c>
      <c r="I138" s="61">
        <f t="shared" si="48"/>
        <v>84</v>
      </c>
      <c r="J138" s="61">
        <f t="shared" si="49"/>
        <v>13</v>
      </c>
      <c r="K138" s="11">
        <f t="shared" si="50"/>
        <v>5.9523809523809521E-2</v>
      </c>
      <c r="L138" s="11">
        <f t="shared" si="63"/>
        <v>1.4460086677189848E-2</v>
      </c>
      <c r="M138" s="11">
        <f t="shared" si="51"/>
        <v>0.73809523809523814</v>
      </c>
      <c r="N138" s="11">
        <f t="shared" si="64"/>
        <v>0.55879016329808306</v>
      </c>
      <c r="O138" s="11">
        <f t="shared" si="52"/>
        <v>7.7380952380952384E-2</v>
      </c>
      <c r="P138" s="11">
        <f t="shared" si="65"/>
        <v>1.8798112680346805E-2</v>
      </c>
      <c r="Q138" s="11">
        <f t="shared" si="53"/>
        <v>0.59204836265561978</v>
      </c>
      <c r="R138" s="20">
        <f t="shared" si="66"/>
        <v>1</v>
      </c>
      <c r="S138" s="56">
        <v>39.050022736503955</v>
      </c>
      <c r="T138" s="56">
        <v>32.651832863999992</v>
      </c>
      <c r="U138" s="56">
        <v>41.201160000000002</v>
      </c>
      <c r="V138" s="20">
        <f t="shared" si="67"/>
        <v>33.079550616383166</v>
      </c>
      <c r="W138" s="20">
        <f>AVERAGE(V133:V137)</f>
        <v>36.240857477222008</v>
      </c>
      <c r="X138" s="36"/>
      <c r="Y138" s="26"/>
      <c r="Z138" s="26"/>
      <c r="AA138" s="26"/>
      <c r="AB138" s="36"/>
      <c r="AC138" s="29"/>
      <c r="AD138" s="29"/>
      <c r="AE138" s="29"/>
      <c r="AF138" s="29"/>
      <c r="AG138" s="29"/>
      <c r="AH138" s="29"/>
      <c r="AI138" s="26"/>
      <c r="AJ138" s="26"/>
      <c r="AK138" s="26"/>
      <c r="AL138" s="26"/>
      <c r="AM138" s="26"/>
      <c r="AN138" s="26"/>
    </row>
    <row r="139" spans="1:40" x14ac:dyDescent="0.35">
      <c r="A139" s="79">
        <v>1</v>
      </c>
      <c r="B139" s="79">
        <v>117</v>
      </c>
      <c r="C139" s="16" t="str">
        <f t="shared" si="61"/>
        <v>Tue</v>
      </c>
      <c r="D139" s="12">
        <v>44824</v>
      </c>
      <c r="E139">
        <f t="shared" si="54"/>
        <v>9</v>
      </c>
      <c r="F139" s="61">
        <f t="shared" si="46"/>
        <v>168</v>
      </c>
      <c r="G139" s="61">
        <f t="shared" si="62"/>
        <v>37</v>
      </c>
      <c r="H139" s="61">
        <f t="shared" si="47"/>
        <v>117</v>
      </c>
      <c r="I139" s="61">
        <f t="shared" si="48"/>
        <v>85</v>
      </c>
      <c r="J139" s="61">
        <f t="shared" si="49"/>
        <v>14</v>
      </c>
      <c r="K139" s="11">
        <f t="shared" si="50"/>
        <v>5.3571428571428568E-2</v>
      </c>
      <c r="L139" s="11">
        <f t="shared" si="63"/>
        <v>1.3014078009470863E-2</v>
      </c>
      <c r="M139" s="11">
        <f t="shared" si="51"/>
        <v>0.73809523809523814</v>
      </c>
      <c r="N139" s="11">
        <f t="shared" si="64"/>
        <v>0.55879016329808306</v>
      </c>
      <c r="O139" s="11">
        <f t="shared" si="52"/>
        <v>8.3333333333333329E-2</v>
      </c>
      <c r="P139" s="11">
        <f t="shared" si="65"/>
        <v>2.0244121348065788E-2</v>
      </c>
      <c r="Q139" s="11">
        <f t="shared" si="53"/>
        <v>0.59204836265561966</v>
      </c>
      <c r="R139" s="20">
        <f t="shared" si="66"/>
        <v>1</v>
      </c>
      <c r="S139" s="56">
        <v>38.269022281773879</v>
      </c>
      <c r="T139" s="56">
        <v>51.2</v>
      </c>
      <c r="U139" s="56">
        <v>40.377136800000002</v>
      </c>
      <c r="V139" s="20">
        <f t="shared" si="67"/>
        <v>50.545688404608647</v>
      </c>
      <c r="W139" s="20">
        <f>W138</f>
        <v>36.240857477222008</v>
      </c>
      <c r="X139" s="36"/>
      <c r="Y139" s="26"/>
      <c r="Z139" s="26"/>
      <c r="AA139" s="26"/>
      <c r="AB139" s="36"/>
      <c r="AC139" s="29"/>
      <c r="AD139" s="29"/>
      <c r="AE139" s="29"/>
      <c r="AF139" s="29"/>
      <c r="AG139" s="29"/>
      <c r="AH139" s="29"/>
      <c r="AI139" s="26"/>
      <c r="AJ139" s="26"/>
      <c r="AK139" s="26"/>
      <c r="AL139" s="26"/>
      <c r="AM139" s="26"/>
      <c r="AN139" s="26"/>
    </row>
    <row r="140" spans="1:40" x14ac:dyDescent="0.35">
      <c r="A140" s="79">
        <v>1</v>
      </c>
      <c r="B140" s="79">
        <v>118</v>
      </c>
      <c r="C140" s="16" t="str">
        <f t="shared" si="61"/>
        <v>Wed</v>
      </c>
      <c r="D140" s="12">
        <v>44825</v>
      </c>
      <c r="E140">
        <f t="shared" si="54"/>
        <v>8</v>
      </c>
      <c r="F140" s="61">
        <f t="shared" si="46"/>
        <v>168</v>
      </c>
      <c r="G140" s="61">
        <f t="shared" si="62"/>
        <v>37</v>
      </c>
      <c r="H140" s="61">
        <f t="shared" si="47"/>
        <v>118</v>
      </c>
      <c r="I140" s="61">
        <f t="shared" si="48"/>
        <v>86</v>
      </c>
      <c r="J140" s="61">
        <f t="shared" si="49"/>
        <v>15</v>
      </c>
      <c r="K140" s="11">
        <f t="shared" si="50"/>
        <v>4.7619047619047616E-2</v>
      </c>
      <c r="L140" s="11">
        <f t="shared" si="63"/>
        <v>1.1568069341751879E-2</v>
      </c>
      <c r="M140" s="11">
        <f t="shared" si="51"/>
        <v>0.73809523809523814</v>
      </c>
      <c r="N140" s="11">
        <f t="shared" si="64"/>
        <v>0.55879016329808306</v>
      </c>
      <c r="O140" s="11">
        <f t="shared" si="52"/>
        <v>8.9285714285714288E-2</v>
      </c>
      <c r="P140" s="11">
        <f t="shared" si="65"/>
        <v>2.1690130015784775E-2</v>
      </c>
      <c r="Q140" s="11">
        <f t="shared" si="53"/>
        <v>0.59204836265561978</v>
      </c>
      <c r="R140" s="20">
        <f t="shared" si="66"/>
        <v>1</v>
      </c>
      <c r="S140" s="56">
        <v>39.200000000000003</v>
      </c>
      <c r="T140" s="56">
        <v>50.176000000000002</v>
      </c>
      <c r="U140" s="56">
        <v>39.569594064</v>
      </c>
      <c r="V140" s="20">
        <f t="shared" si="67"/>
        <v>49.572965728871083</v>
      </c>
      <c r="W140" s="20">
        <f>W139</f>
        <v>36.240857477222008</v>
      </c>
      <c r="X140" s="36"/>
      <c r="Y140" s="26"/>
      <c r="Z140" s="26"/>
      <c r="AA140" s="26"/>
      <c r="AB140" s="36"/>
      <c r="AC140" s="29"/>
      <c r="AD140" s="29"/>
      <c r="AE140" s="29"/>
      <c r="AF140" s="29"/>
      <c r="AG140" s="29"/>
      <c r="AH140" s="29"/>
      <c r="AI140" s="26"/>
      <c r="AJ140" s="26"/>
      <c r="AK140" s="26"/>
      <c r="AL140" s="26"/>
      <c r="AM140" s="26"/>
      <c r="AN140" s="26"/>
    </row>
    <row r="141" spans="1:40" x14ac:dyDescent="0.35">
      <c r="A141" s="79">
        <v>1</v>
      </c>
      <c r="B141" s="79">
        <v>119</v>
      </c>
      <c r="C141" s="16" t="str">
        <f t="shared" si="61"/>
        <v>Thu</v>
      </c>
      <c r="D141" s="12">
        <v>44826</v>
      </c>
      <c r="E141">
        <f t="shared" si="54"/>
        <v>7</v>
      </c>
      <c r="F141" s="61">
        <f t="shared" si="46"/>
        <v>168</v>
      </c>
      <c r="G141" s="61">
        <f t="shared" si="62"/>
        <v>37</v>
      </c>
      <c r="H141" s="61">
        <f t="shared" si="47"/>
        <v>119</v>
      </c>
      <c r="I141" s="61">
        <f t="shared" si="48"/>
        <v>87</v>
      </c>
      <c r="J141" s="61">
        <f t="shared" si="49"/>
        <v>16</v>
      </c>
      <c r="K141" s="11">
        <f t="shared" si="50"/>
        <v>4.1666666666666664E-2</v>
      </c>
      <c r="L141" s="11">
        <f t="shared" si="63"/>
        <v>1.0122060674032894E-2</v>
      </c>
      <c r="M141" s="11">
        <f t="shared" si="51"/>
        <v>0.73809523809523814</v>
      </c>
      <c r="N141" s="11">
        <f t="shared" si="64"/>
        <v>0.55879016329808306</v>
      </c>
      <c r="O141" s="11">
        <f t="shared" si="52"/>
        <v>9.5238095238095233E-2</v>
      </c>
      <c r="P141" s="11">
        <f t="shared" si="65"/>
        <v>2.3136138683503758E-2</v>
      </c>
      <c r="Q141" s="11">
        <f t="shared" si="53"/>
        <v>0.59204836265561966</v>
      </c>
      <c r="R141" s="20">
        <f t="shared" si="66"/>
        <v>1</v>
      </c>
      <c r="S141" s="56">
        <v>38.416000000000004</v>
      </c>
      <c r="T141" s="56">
        <v>49.17248</v>
      </c>
      <c r="U141" s="56">
        <v>45.3</v>
      </c>
      <c r="V141" s="20">
        <f t="shared" si="67"/>
        <v>48.837250667318671</v>
      </c>
      <c r="W141" s="20">
        <f>W140</f>
        <v>36.240857477222008</v>
      </c>
      <c r="X141" s="36"/>
      <c r="Y141" s="26"/>
      <c r="Z141" s="26"/>
      <c r="AA141" s="26"/>
      <c r="AB141" s="36"/>
      <c r="AC141" s="29"/>
      <c r="AD141" s="29"/>
      <c r="AE141" s="29"/>
      <c r="AF141" s="29"/>
      <c r="AG141" s="29"/>
      <c r="AH141" s="29"/>
      <c r="AI141" s="26"/>
      <c r="AJ141" s="26"/>
      <c r="AK141" s="26"/>
      <c r="AL141" s="26"/>
      <c r="AM141" s="26"/>
      <c r="AN141" s="26"/>
    </row>
    <row r="142" spans="1:40" x14ac:dyDescent="0.35">
      <c r="A142" s="79">
        <v>1</v>
      </c>
      <c r="B142" s="79">
        <v>120</v>
      </c>
      <c r="C142" s="16" t="str">
        <f t="shared" si="61"/>
        <v>Fri</v>
      </c>
      <c r="D142" s="12">
        <v>44827</v>
      </c>
      <c r="E142">
        <f t="shared" si="54"/>
        <v>6</v>
      </c>
      <c r="F142" s="61">
        <f t="shared" si="46"/>
        <v>168</v>
      </c>
      <c r="G142" s="61">
        <f t="shared" si="62"/>
        <v>37</v>
      </c>
      <c r="H142" s="61">
        <f t="shared" si="47"/>
        <v>120</v>
      </c>
      <c r="I142" s="61">
        <f t="shared" si="48"/>
        <v>88</v>
      </c>
      <c r="J142" s="61">
        <f t="shared" si="49"/>
        <v>17</v>
      </c>
      <c r="K142" s="11">
        <f t="shared" si="50"/>
        <v>3.5714285714285712E-2</v>
      </c>
      <c r="L142" s="11">
        <f t="shared" si="63"/>
        <v>8.6760520063139095E-3</v>
      </c>
      <c r="M142" s="11">
        <f t="shared" si="51"/>
        <v>0.73809523809523814</v>
      </c>
      <c r="N142" s="11">
        <f t="shared" si="64"/>
        <v>0.55879016329808306</v>
      </c>
      <c r="O142" s="11">
        <f t="shared" si="52"/>
        <v>0.10119047619047619</v>
      </c>
      <c r="P142" s="11">
        <f t="shared" si="65"/>
        <v>2.4582147351222744E-2</v>
      </c>
      <c r="Q142" s="11">
        <f t="shared" si="53"/>
        <v>0.59204836265561978</v>
      </c>
      <c r="R142" s="20">
        <f t="shared" si="66"/>
        <v>1</v>
      </c>
      <c r="S142" s="56">
        <v>37.647680000000001</v>
      </c>
      <c r="T142" s="56">
        <v>48.1890304</v>
      </c>
      <c r="U142" s="56">
        <v>44.393999999999998</v>
      </c>
      <c r="V142" s="20">
        <f t="shared" si="67"/>
        <v>47.876982749105956</v>
      </c>
      <c r="W142" s="20">
        <f>W141</f>
        <v>36.240857477222008</v>
      </c>
      <c r="X142" s="36"/>
      <c r="Y142" s="26"/>
      <c r="Z142" s="26"/>
      <c r="AA142" s="26"/>
      <c r="AB142" s="36"/>
      <c r="AC142" s="29"/>
      <c r="AD142" s="29"/>
      <c r="AE142" s="29"/>
      <c r="AF142" s="29"/>
      <c r="AG142" s="29"/>
      <c r="AH142" s="29"/>
      <c r="AI142" s="26"/>
      <c r="AJ142" s="26"/>
      <c r="AK142" s="26"/>
      <c r="AL142" s="26"/>
      <c r="AM142" s="26"/>
      <c r="AN142" s="26"/>
    </row>
    <row r="143" spans="1:40" x14ac:dyDescent="0.35">
      <c r="A143" s="79">
        <v>1</v>
      </c>
      <c r="B143" s="79">
        <v>121</v>
      </c>
      <c r="C143" s="16" t="str">
        <f t="shared" si="61"/>
        <v>Mon</v>
      </c>
      <c r="D143" s="12">
        <v>44830</v>
      </c>
      <c r="E143">
        <f t="shared" si="54"/>
        <v>5</v>
      </c>
      <c r="F143" s="61">
        <f t="shared" si="46"/>
        <v>168</v>
      </c>
      <c r="G143" s="61">
        <f t="shared" si="62"/>
        <v>37</v>
      </c>
      <c r="H143" s="61">
        <f t="shared" si="47"/>
        <v>121</v>
      </c>
      <c r="I143" s="61">
        <f t="shared" si="48"/>
        <v>89</v>
      </c>
      <c r="J143" s="61">
        <f t="shared" si="49"/>
        <v>18</v>
      </c>
      <c r="K143" s="11">
        <f t="shared" si="50"/>
        <v>2.976190476190476E-2</v>
      </c>
      <c r="L143" s="11">
        <f t="shared" si="63"/>
        <v>7.230043338594924E-3</v>
      </c>
      <c r="M143" s="11">
        <f t="shared" si="51"/>
        <v>0.73809523809523814</v>
      </c>
      <c r="N143" s="11">
        <f t="shared" si="64"/>
        <v>0.55879016329808306</v>
      </c>
      <c r="O143" s="11">
        <f t="shared" si="52"/>
        <v>0.10714285714285714</v>
      </c>
      <c r="P143" s="11">
        <f t="shared" si="65"/>
        <v>2.6028156018941727E-2</v>
      </c>
      <c r="Q143" s="11">
        <f t="shared" si="53"/>
        <v>0.59204836265561966</v>
      </c>
      <c r="R143" s="20">
        <f t="shared" si="66"/>
        <v>1</v>
      </c>
      <c r="S143" s="56">
        <v>36.894726400000003</v>
      </c>
      <c r="T143" s="56">
        <v>47.225249792</v>
      </c>
      <c r="U143" s="56">
        <v>43.506119999999996</v>
      </c>
      <c r="V143" s="20">
        <f t="shared" si="67"/>
        <v>46.935590647354843</v>
      </c>
      <c r="W143" s="20">
        <f>AVERAGE(V138:V142)</f>
        <v>45.982487633257506</v>
      </c>
      <c r="X143" s="36"/>
      <c r="Y143" s="26"/>
      <c r="Z143" s="26"/>
      <c r="AA143" s="26"/>
      <c r="AB143" s="36"/>
      <c r="AC143" s="29"/>
      <c r="AD143" s="29"/>
      <c r="AE143" s="29"/>
      <c r="AF143" s="29"/>
      <c r="AG143" s="29"/>
      <c r="AH143" s="29"/>
      <c r="AI143" s="26"/>
      <c r="AJ143" s="26"/>
      <c r="AK143" s="26"/>
      <c r="AL143" s="26"/>
      <c r="AM143" s="26"/>
      <c r="AN143" s="26"/>
    </row>
    <row r="144" spans="1:40" x14ac:dyDescent="0.35">
      <c r="A144" s="79">
        <v>1</v>
      </c>
      <c r="B144" s="79">
        <v>122</v>
      </c>
      <c r="C144" s="16" t="str">
        <f t="shared" si="61"/>
        <v>Tue</v>
      </c>
      <c r="D144" s="12">
        <v>44831</v>
      </c>
      <c r="E144">
        <f t="shared" si="54"/>
        <v>4</v>
      </c>
      <c r="F144" s="61">
        <f t="shared" si="46"/>
        <v>168</v>
      </c>
      <c r="G144" s="61">
        <f t="shared" si="62"/>
        <v>37</v>
      </c>
      <c r="H144" s="61">
        <f t="shared" si="47"/>
        <v>122</v>
      </c>
      <c r="I144" s="61">
        <f t="shared" si="48"/>
        <v>90</v>
      </c>
      <c r="J144" s="61">
        <f t="shared" si="49"/>
        <v>19</v>
      </c>
      <c r="K144" s="11">
        <f t="shared" si="50"/>
        <v>2.3809523809523808E-2</v>
      </c>
      <c r="L144" s="11">
        <f t="shared" si="63"/>
        <v>5.7840346708759394E-3</v>
      </c>
      <c r="M144" s="11">
        <f t="shared" si="51"/>
        <v>0.73809523809523814</v>
      </c>
      <c r="N144" s="11">
        <f t="shared" si="64"/>
        <v>0.55879016329808306</v>
      </c>
      <c r="O144" s="11">
        <f t="shared" si="52"/>
        <v>0.1130952380952381</v>
      </c>
      <c r="P144" s="11">
        <f t="shared" si="65"/>
        <v>2.7474164686660713E-2</v>
      </c>
      <c r="Q144" s="11">
        <f t="shared" si="53"/>
        <v>0.59204836265561978</v>
      </c>
      <c r="R144" s="20">
        <f t="shared" si="66"/>
        <v>1</v>
      </c>
      <c r="S144" s="56">
        <v>35</v>
      </c>
      <c r="T144" s="56">
        <v>46.28074479616</v>
      </c>
      <c r="U144" s="56">
        <v>42.635997599999996</v>
      </c>
      <c r="V144" s="20">
        <f t="shared" si="67"/>
        <v>46.001401732054546</v>
      </c>
      <c r="W144" s="20">
        <f>W143</f>
        <v>45.982487633257506</v>
      </c>
      <c r="X144" s="36"/>
      <c r="Y144" s="26"/>
      <c r="Z144" s="26"/>
      <c r="AA144" s="26"/>
      <c r="AB144" s="36"/>
      <c r="AC144" s="29"/>
      <c r="AD144" s="29"/>
      <c r="AE144" s="29"/>
      <c r="AF144" s="29"/>
      <c r="AG144" s="29"/>
      <c r="AH144" s="29"/>
      <c r="AI144" s="26"/>
      <c r="AJ144" s="26"/>
      <c r="AK144" s="26"/>
      <c r="AL144" s="26"/>
      <c r="AM144" s="26"/>
      <c r="AN144" s="26"/>
    </row>
    <row r="145" spans="1:40" x14ac:dyDescent="0.35">
      <c r="A145" s="79">
        <v>1</v>
      </c>
      <c r="B145" s="79">
        <v>123</v>
      </c>
      <c r="C145" s="16" t="str">
        <f t="shared" si="61"/>
        <v>Wed</v>
      </c>
      <c r="D145" s="12">
        <v>44832</v>
      </c>
      <c r="E145">
        <f t="shared" si="54"/>
        <v>3</v>
      </c>
      <c r="F145" s="61">
        <f t="shared" si="46"/>
        <v>168</v>
      </c>
      <c r="G145" s="61">
        <f t="shared" si="62"/>
        <v>37</v>
      </c>
      <c r="H145" s="61">
        <f t="shared" si="47"/>
        <v>123</v>
      </c>
      <c r="I145" s="61">
        <f t="shared" si="48"/>
        <v>91</v>
      </c>
      <c r="J145" s="61">
        <f t="shared" si="49"/>
        <v>20</v>
      </c>
      <c r="K145" s="11">
        <f t="shared" si="50"/>
        <v>1.7857142857142856E-2</v>
      </c>
      <c r="L145" s="11">
        <f t="shared" si="63"/>
        <v>4.3380260031569548E-3</v>
      </c>
      <c r="M145" s="11">
        <f t="shared" si="51"/>
        <v>0.73809523809523814</v>
      </c>
      <c r="N145" s="11">
        <f t="shared" si="64"/>
        <v>0.55879016329808306</v>
      </c>
      <c r="O145" s="11">
        <f t="shared" si="52"/>
        <v>0.11904761904761904</v>
      </c>
      <c r="P145" s="11">
        <f t="shared" si="65"/>
        <v>2.8920173354379696E-2</v>
      </c>
      <c r="Q145" s="11">
        <f t="shared" si="53"/>
        <v>0.59204836265561966</v>
      </c>
      <c r="R145" s="20">
        <f t="shared" si="66"/>
        <v>1</v>
      </c>
      <c r="S145" s="56">
        <v>34.299999999999997</v>
      </c>
      <c r="T145" s="56">
        <v>51.8</v>
      </c>
      <c r="U145" s="56">
        <v>41.783277647999995</v>
      </c>
      <c r="V145" s="20">
        <f t="shared" si="67"/>
        <v>51.182481525195207</v>
      </c>
      <c r="W145" s="20">
        <f>W144</f>
        <v>45.982487633257506</v>
      </c>
      <c r="X145" s="36"/>
      <c r="Y145" s="26"/>
      <c r="Z145" s="26"/>
      <c r="AA145" s="26"/>
      <c r="AB145" s="36"/>
      <c r="AC145" s="29"/>
      <c r="AD145" s="29"/>
      <c r="AE145" s="29"/>
      <c r="AF145" s="29"/>
      <c r="AG145" s="29"/>
      <c r="AH145" s="29"/>
      <c r="AI145" s="26"/>
      <c r="AJ145" s="26"/>
      <c r="AK145" s="26"/>
      <c r="AL145" s="26"/>
      <c r="AM145" s="26"/>
      <c r="AN145" s="26"/>
    </row>
    <row r="146" spans="1:40" x14ac:dyDescent="0.35">
      <c r="A146" s="79">
        <v>1</v>
      </c>
      <c r="B146" s="79">
        <v>124</v>
      </c>
      <c r="C146" s="16" t="str">
        <f t="shared" si="61"/>
        <v>Thu</v>
      </c>
      <c r="D146" s="12">
        <v>44833</v>
      </c>
      <c r="E146">
        <f t="shared" si="54"/>
        <v>2</v>
      </c>
      <c r="F146" s="61">
        <f t="shared" si="46"/>
        <v>168</v>
      </c>
      <c r="G146" s="61">
        <f t="shared" si="62"/>
        <v>37</v>
      </c>
      <c r="H146" s="61">
        <f t="shared" si="47"/>
        <v>124</v>
      </c>
      <c r="I146" s="61">
        <f t="shared" si="48"/>
        <v>92</v>
      </c>
      <c r="J146" s="61">
        <f t="shared" si="49"/>
        <v>21</v>
      </c>
      <c r="K146" s="11">
        <f t="shared" si="50"/>
        <v>1.1904761904761904E-2</v>
      </c>
      <c r="L146" s="11">
        <f t="shared" si="63"/>
        <v>2.8920173354379697E-3</v>
      </c>
      <c r="M146" s="11">
        <f t="shared" si="51"/>
        <v>0.73809523809523814</v>
      </c>
      <c r="N146" s="11">
        <f t="shared" si="64"/>
        <v>0.55879016329808306</v>
      </c>
      <c r="O146" s="11">
        <f t="shared" si="52"/>
        <v>0.125</v>
      </c>
      <c r="P146" s="11">
        <f t="shared" si="65"/>
        <v>3.0366182022098683E-2</v>
      </c>
      <c r="Q146" s="11">
        <f t="shared" si="53"/>
        <v>0.59204836265561978</v>
      </c>
      <c r="R146" s="20">
        <f t="shared" si="66"/>
        <v>0.99999999999999989</v>
      </c>
      <c r="S146" s="56">
        <v>33.613999999999997</v>
      </c>
      <c r="T146" s="56">
        <v>50.763999999999996</v>
      </c>
      <c r="U146" s="56">
        <v>40.947612095039993</v>
      </c>
      <c r="V146" s="20">
        <f t="shared" si="67"/>
        <v>50.176743381867013</v>
      </c>
      <c r="W146" s="20">
        <f>W145</f>
        <v>45.982487633257506</v>
      </c>
      <c r="X146" s="36"/>
      <c r="Y146" s="26"/>
      <c r="Z146" s="26"/>
      <c r="AA146" s="26"/>
      <c r="AB146" s="36"/>
      <c r="AC146" s="29"/>
      <c r="AD146" s="29"/>
      <c r="AE146" s="29"/>
      <c r="AF146" s="29"/>
      <c r="AG146" s="29"/>
      <c r="AH146" s="29"/>
      <c r="AI146" s="26"/>
      <c r="AJ146" s="26"/>
      <c r="AK146" s="26"/>
      <c r="AL146" s="26"/>
      <c r="AM146" s="26"/>
      <c r="AN146" s="26"/>
    </row>
    <row r="147" spans="1:40" x14ac:dyDescent="0.35">
      <c r="A147" s="79">
        <v>1</v>
      </c>
      <c r="B147" s="79">
        <v>125</v>
      </c>
      <c r="C147" s="16" t="str">
        <f t="shared" si="61"/>
        <v>Fri</v>
      </c>
      <c r="D147" s="12">
        <v>44834</v>
      </c>
      <c r="E147">
        <f t="shared" si="54"/>
        <v>1</v>
      </c>
      <c r="F147" s="61">
        <f t="shared" si="46"/>
        <v>168</v>
      </c>
      <c r="G147" s="61">
        <f t="shared" si="62"/>
        <v>37</v>
      </c>
      <c r="H147" s="61">
        <f t="shared" si="47"/>
        <v>125</v>
      </c>
      <c r="I147" s="61">
        <f t="shared" si="48"/>
        <v>93</v>
      </c>
      <c r="J147" s="61">
        <f t="shared" si="49"/>
        <v>22</v>
      </c>
      <c r="K147" s="11">
        <f t="shared" si="50"/>
        <v>5.9523809523809521E-3</v>
      </c>
      <c r="L147" s="11">
        <f t="shared" si="63"/>
        <v>1.4460086677189849E-3</v>
      </c>
      <c r="M147" s="11">
        <f t="shared" si="51"/>
        <v>0.73809523809523814</v>
      </c>
      <c r="N147" s="11">
        <f t="shared" si="64"/>
        <v>0.55879016329808306</v>
      </c>
      <c r="O147" s="11">
        <f t="shared" si="52"/>
        <v>0.13095238095238096</v>
      </c>
      <c r="P147" s="11">
        <f t="shared" si="65"/>
        <v>3.1812190689817672E-2</v>
      </c>
      <c r="Q147" s="11">
        <f t="shared" si="53"/>
        <v>0.59204836265561966</v>
      </c>
      <c r="R147" s="20">
        <f t="shared" si="66"/>
        <v>1</v>
      </c>
      <c r="S147" s="56">
        <v>32.941719999999997</v>
      </c>
      <c r="T147" s="56">
        <v>49.748719999999999</v>
      </c>
      <c r="U147" s="56">
        <v>40.12865985313919</v>
      </c>
      <c r="V147" s="20">
        <f t="shared" si="67"/>
        <v>49.190761771661897</v>
      </c>
      <c r="W147" s="20">
        <f>W146</f>
        <v>45.982487633257506</v>
      </c>
      <c r="X147" s="36"/>
      <c r="Y147" s="26"/>
      <c r="Z147" s="26"/>
      <c r="AA147" s="26"/>
      <c r="AB147" s="36"/>
      <c r="AC147" s="29"/>
      <c r="AD147" s="29"/>
      <c r="AE147" s="29"/>
      <c r="AF147" s="29"/>
      <c r="AG147" s="29"/>
      <c r="AH147" s="29"/>
      <c r="AI147" s="26"/>
      <c r="AJ147" s="26"/>
      <c r="AK147" s="26"/>
      <c r="AL147" s="26"/>
      <c r="AM147" s="26"/>
      <c r="AN147" s="26"/>
    </row>
  </sheetData>
  <mergeCells count="2">
    <mergeCell ref="C18:D18"/>
    <mergeCell ref="C19:D19"/>
  </mergeCells>
  <conditionalFormatting sqref="D9">
    <cfRule type="cellIs" dxfId="9" priority="1" operator="equal">
      <formula>"Yes"</formula>
    </cfRule>
    <cfRule type="cellIs" dxfId="8" priority="2" operator="equal">
      <formula>"No"</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2332-C23B-4740-AEBD-818A5D7A66A0}">
  <sheetPr>
    <pageSetUpPr autoPageBreaks="0"/>
  </sheetPr>
  <dimension ref="A1:K187"/>
  <sheetViews>
    <sheetView zoomScale="80" zoomScaleNormal="80" workbookViewId="0">
      <selection activeCell="A2" sqref="A2:A3"/>
    </sheetView>
  </sheetViews>
  <sheetFormatPr defaultColWidth="0" defaultRowHeight="14.5" customHeight="1" zeroHeight="1" x14ac:dyDescent="0.35"/>
  <cols>
    <col min="1" max="1" width="60.36328125" customWidth="1"/>
    <col min="2" max="2" width="5.36328125" bestFit="1" customWidth="1"/>
    <col min="3" max="3" width="11" bestFit="1" customWidth="1"/>
    <col min="4" max="4" width="11.08984375" customWidth="1"/>
    <col min="5" max="5" width="11.36328125" customWidth="1"/>
    <col min="6" max="6" width="8.36328125" bestFit="1" customWidth="1"/>
    <col min="7" max="9" width="4.6328125" bestFit="1" customWidth="1"/>
    <col min="10" max="10" width="8.36328125" bestFit="1" customWidth="1"/>
    <col min="11" max="11" width="83.36328125" customWidth="1"/>
    <col min="12" max="16384" width="8.6328125" hidden="1"/>
  </cols>
  <sheetData>
    <row r="1" spans="1:11" ht="56.15" customHeight="1" x14ac:dyDescent="0.35"/>
    <row r="2" spans="1:11" ht="409.6" customHeight="1" x14ac:dyDescent="0.35">
      <c r="A2" s="80" t="s">
        <v>169</v>
      </c>
      <c r="B2" s="48"/>
      <c r="C2" s="49"/>
      <c r="D2" s="49"/>
      <c r="E2" s="49"/>
      <c r="F2" s="49"/>
      <c r="G2" s="49"/>
      <c r="H2" s="49"/>
      <c r="I2" s="49"/>
      <c r="J2" s="49"/>
      <c r="K2" s="26"/>
    </row>
    <row r="3" spans="1:11" ht="97.5" customHeight="1" x14ac:dyDescent="0.35">
      <c r="A3" s="80"/>
      <c r="B3" s="48"/>
      <c r="C3" s="49"/>
      <c r="D3" s="49"/>
      <c r="E3" s="49"/>
      <c r="F3" s="49"/>
      <c r="G3" s="49"/>
      <c r="H3" s="49"/>
      <c r="I3" s="49"/>
      <c r="J3" s="49"/>
      <c r="K3" s="26"/>
    </row>
    <row r="4" spans="1:11" ht="45.5" x14ac:dyDescent="0.35">
      <c r="A4" s="26"/>
      <c r="B4" s="45" t="s">
        <v>13</v>
      </c>
      <c r="C4" s="17" t="s">
        <v>14</v>
      </c>
      <c r="D4" s="57" t="s">
        <v>170</v>
      </c>
      <c r="E4" s="58" t="s">
        <v>171</v>
      </c>
      <c r="F4" s="46" t="s">
        <v>17</v>
      </c>
      <c r="G4" s="46" t="s">
        <v>18</v>
      </c>
      <c r="H4" s="46" t="s">
        <v>19</v>
      </c>
      <c r="I4" s="46" t="s">
        <v>20</v>
      </c>
      <c r="J4" s="47" t="s">
        <v>21</v>
      </c>
      <c r="K4" s="26"/>
    </row>
    <row r="5" spans="1:11" x14ac:dyDescent="0.35">
      <c r="A5" s="26"/>
      <c r="B5" s="16" t="s">
        <v>22</v>
      </c>
      <c r="C5" s="12">
        <v>44652</v>
      </c>
      <c r="D5" s="5" t="s">
        <v>23</v>
      </c>
      <c r="E5" t="s">
        <v>23</v>
      </c>
      <c r="F5" s="25" t="s">
        <v>23</v>
      </c>
      <c r="G5" s="43">
        <f t="shared" ref="G5:G68" si="0">X</f>
        <v>0.85</v>
      </c>
      <c r="H5" s="43">
        <f>VLOOKUP(MONTH(C5),'Gas Calculations'!$A$39:'Gas Calculations'!$F$50,6,FALSE)</f>
        <v>0.42947999999999997</v>
      </c>
      <c r="I5" s="43">
        <f>'Gas Calculations'!$C$24</f>
        <v>0.3412</v>
      </c>
      <c r="J5" s="43" t="s">
        <v>23</v>
      </c>
      <c r="K5" s="26"/>
    </row>
    <row r="6" spans="1:11" x14ac:dyDescent="0.35">
      <c r="A6" s="26"/>
      <c r="B6" s="16" t="s">
        <v>24</v>
      </c>
      <c r="C6" s="12">
        <v>44655</v>
      </c>
      <c r="D6" s="5">
        <f>IFERROR(VLOOKUP(C6,'Gas Wc'!$D$23:$W$1048576,20,FALSE),"NA")*(1+'Gas Calculations'!$C$18)</f>
        <v>229.79313978624015</v>
      </c>
      <c r="E6" s="5">
        <f>IFERROR(VLOOKUP(C6,'Gas Wpc'!$D$22:$V$204,19,FALSE),"NA")*(1+'Gas Calculations'!$C$18)</f>
        <v>198.20131039025603</v>
      </c>
      <c r="F6" s="43">
        <f>IFERROR(VLOOKUP(C6,'Gas Wpc'!$D$22:$W$204,20,FALSE),"NA")*MAX(0,E6-D6)</f>
        <v>0</v>
      </c>
      <c r="G6" s="43">
        <f t="shared" si="0"/>
        <v>0.85</v>
      </c>
      <c r="H6" s="43">
        <f>VLOOKUP(MONTH(C6),'Gas Calculations'!$A$39:'Gas Calculations'!$F$50,6,FALSE)</f>
        <v>0.42947999999999997</v>
      </c>
      <c r="I6" s="43">
        <f>'Gas Calculations'!$C$24</f>
        <v>0.3412</v>
      </c>
      <c r="J6" s="43">
        <f>G6*F6*H6*I6</f>
        <v>0</v>
      </c>
      <c r="K6" s="26"/>
    </row>
    <row r="7" spans="1:11" x14ac:dyDescent="0.35">
      <c r="A7" s="26"/>
      <c r="B7" s="16" t="s">
        <v>25</v>
      </c>
      <c r="C7" s="12">
        <v>44656</v>
      </c>
      <c r="D7" s="5">
        <f>IFERROR(VLOOKUP(C7,'Gas Wc'!$D$23:$W$1048576,20,FALSE),"NA")*(1+'Gas Calculations'!$C$18)</f>
        <v>229.79313978624015</v>
      </c>
      <c r="E7" s="5">
        <f>IFERROR(VLOOKUP(C7,'Gas Wpc'!$D$22:$V$204,19,FALSE),"NA")*(1+'Gas Calculations'!$C$18)</f>
        <v>198.20131039025603</v>
      </c>
      <c r="F7" s="43">
        <f>IFERROR(VLOOKUP(C7,'Gas Wpc'!$D$22:$W$204,20,FALSE),"NA")*MAX(0,E7-D7)</f>
        <v>0</v>
      </c>
      <c r="G7" s="43">
        <f t="shared" si="0"/>
        <v>0.85</v>
      </c>
      <c r="H7" s="43">
        <f>VLOOKUP(MONTH(C7),'Gas Calculations'!$A$39:'Gas Calculations'!$F$50,6,FALSE)</f>
        <v>0.42947999999999997</v>
      </c>
      <c r="I7" s="43">
        <f>'Gas Calculations'!$C$24</f>
        <v>0.3412</v>
      </c>
      <c r="J7" s="43">
        <f t="shared" ref="J7:J69" si="1">G7*F7*H7*I7</f>
        <v>0</v>
      </c>
      <c r="K7" s="26"/>
    </row>
    <row r="8" spans="1:11" x14ac:dyDescent="0.35">
      <c r="A8" s="26"/>
      <c r="B8" s="16" t="s">
        <v>26</v>
      </c>
      <c r="C8" s="12">
        <v>44657</v>
      </c>
      <c r="D8" s="5">
        <f>IFERROR(VLOOKUP(C8,'Gas Wc'!$D$23:$W$1048576,20,FALSE),"NA")*(1+'Gas Calculations'!$C$18)</f>
        <v>229.79313978624015</v>
      </c>
      <c r="E8" s="5">
        <f>IFERROR(VLOOKUP(C8,'Gas Wpc'!$D$22:$V$204,19,FALSE),"NA")*(1+'Gas Calculations'!$C$18)</f>
        <v>198.20131039025603</v>
      </c>
      <c r="F8" s="43">
        <f>IFERROR(VLOOKUP(C8,'Gas Wpc'!$D$22:$W$204,20,FALSE),"NA")*MAX(0,E8-D8)</f>
        <v>0</v>
      </c>
      <c r="G8" s="43">
        <f t="shared" si="0"/>
        <v>0.85</v>
      </c>
      <c r="H8" s="43">
        <f>VLOOKUP(MONTH(C8),'Gas Calculations'!$A$39:'Gas Calculations'!$F$50,6,FALSE)</f>
        <v>0.42947999999999997</v>
      </c>
      <c r="I8" s="43">
        <f>'Gas Calculations'!$C$24</f>
        <v>0.3412</v>
      </c>
      <c r="J8" s="43">
        <f t="shared" si="1"/>
        <v>0</v>
      </c>
      <c r="K8" s="26"/>
    </row>
    <row r="9" spans="1:11" x14ac:dyDescent="0.35">
      <c r="A9" s="26"/>
      <c r="B9" s="16" t="s">
        <v>27</v>
      </c>
      <c r="C9" s="12">
        <v>44658</v>
      </c>
      <c r="D9" s="5">
        <f>IFERROR(VLOOKUP(C9,'Gas Wc'!$D$23:$W$1048576,20,FALSE),"NA")*(1+'Gas Calculations'!$C$18)</f>
        <v>229.79313978624015</v>
      </c>
      <c r="E9" s="5">
        <f>IFERROR(VLOOKUP(C9,'Gas Wpc'!$D$22:$V$204,19,FALSE),"NA")*(1+'Gas Calculations'!$C$18)</f>
        <v>198.20131039025603</v>
      </c>
      <c r="F9" s="43">
        <f>IFERROR(VLOOKUP(C9,'Gas Wpc'!$D$22:$W$204,20,FALSE),"NA")*MAX(0,E9-D9)</f>
        <v>0</v>
      </c>
      <c r="G9" s="43">
        <f t="shared" si="0"/>
        <v>0.85</v>
      </c>
      <c r="H9" s="43">
        <f>VLOOKUP(MONTH(C9),'Gas Calculations'!$A$39:'Gas Calculations'!$F$50,6,FALSE)</f>
        <v>0.42947999999999997</v>
      </c>
      <c r="I9" s="43">
        <f>'Gas Calculations'!$C$24</f>
        <v>0.3412</v>
      </c>
      <c r="J9" s="43">
        <f t="shared" si="1"/>
        <v>0</v>
      </c>
      <c r="K9" s="26"/>
    </row>
    <row r="10" spans="1:11" x14ac:dyDescent="0.35">
      <c r="A10" s="26"/>
      <c r="B10" s="16" t="s">
        <v>22</v>
      </c>
      <c r="C10" s="12">
        <v>44659</v>
      </c>
      <c r="D10" s="5">
        <f>IFERROR(VLOOKUP(C10,'Gas Wc'!$D$23:$W$1048576,20,FALSE),"NA")*(1+'Gas Calculations'!$C$18)</f>
        <v>229.79313978624015</v>
      </c>
      <c r="E10" s="5">
        <f>IFERROR(VLOOKUP(C10,'Gas Wpc'!$D$22:$V$204,19,FALSE),"NA")*(1+'Gas Calculations'!$C$18)</f>
        <v>198.20131039025603</v>
      </c>
      <c r="F10" s="43">
        <f>IFERROR(VLOOKUP(C10,'Gas Wpc'!$D$22:$W$204,20,FALSE),"NA")*MAX(0,E10-D10)</f>
        <v>0</v>
      </c>
      <c r="G10" s="43">
        <f t="shared" si="0"/>
        <v>0.85</v>
      </c>
      <c r="H10" s="43">
        <f>VLOOKUP(MONTH(C10),'Gas Calculations'!$A$39:'Gas Calculations'!$F$50,6,FALSE)</f>
        <v>0.42947999999999997</v>
      </c>
      <c r="I10" s="43">
        <f>'Gas Calculations'!$C$24</f>
        <v>0.3412</v>
      </c>
      <c r="J10" s="43">
        <f t="shared" si="1"/>
        <v>0</v>
      </c>
      <c r="K10" s="26"/>
    </row>
    <row r="11" spans="1:11" x14ac:dyDescent="0.35">
      <c r="A11" s="26"/>
      <c r="B11" s="16" t="s">
        <v>24</v>
      </c>
      <c r="C11" s="12">
        <v>44662</v>
      </c>
      <c r="D11" s="5">
        <f>IFERROR(VLOOKUP(C11,'Gas Wc'!$D$23:$W$1048576,20,FALSE),"NA")*(1+'Gas Calculations'!$C$18)</f>
        <v>217.01397204988757</v>
      </c>
      <c r="E11" s="5">
        <f>IFERROR(VLOOKUP(C11,'Gas Wpc'!$D$22:$V$204,19,FALSE),"NA")*(1+'Gas Calculations'!$C$18)</f>
        <v>201.56311070865891</v>
      </c>
      <c r="F11" s="43">
        <f>IFERROR(VLOOKUP(C11,'Gas Wpc'!$D$22:$W$204,20,FALSE),"NA")*MAX(0,E11-D11)</f>
        <v>0</v>
      </c>
      <c r="G11" s="43">
        <f t="shared" si="0"/>
        <v>0.85</v>
      </c>
      <c r="H11" s="43">
        <f>VLOOKUP(MONTH(C11),'Gas Calculations'!$A$39:'Gas Calculations'!$F$50,6,FALSE)</f>
        <v>0.42947999999999997</v>
      </c>
      <c r="I11" s="43">
        <f>'Gas Calculations'!$C$24</f>
        <v>0.3412</v>
      </c>
      <c r="J11" s="43">
        <f t="shared" si="1"/>
        <v>0</v>
      </c>
      <c r="K11" s="26"/>
    </row>
    <row r="12" spans="1:11" x14ac:dyDescent="0.35">
      <c r="A12" s="26"/>
      <c r="B12" s="16" t="s">
        <v>25</v>
      </c>
      <c r="C12" s="12">
        <v>44663</v>
      </c>
      <c r="D12" s="5">
        <f>IFERROR(VLOOKUP(C12,'Gas Wc'!$D$23:$W$1048576,20,FALSE),"NA")*(1+'Gas Calculations'!$C$18)</f>
        <v>217.01397204988757</v>
      </c>
      <c r="E12" s="5">
        <f>IFERROR(VLOOKUP(C12,'Gas Wpc'!$D$22:$V$204,19,FALSE),"NA")*(1+'Gas Calculations'!$C$18)</f>
        <v>201.56311070865891</v>
      </c>
      <c r="F12" s="43">
        <f>IFERROR(VLOOKUP(C12,'Gas Wpc'!$D$22:$W$204,20,FALSE),"NA")*MAX(0,E12-D12)</f>
        <v>0</v>
      </c>
      <c r="G12" s="43">
        <f t="shared" si="0"/>
        <v>0.85</v>
      </c>
      <c r="H12" s="43">
        <f>VLOOKUP(MONTH(C12),'Gas Calculations'!$A$39:'Gas Calculations'!$F$50,6,FALSE)</f>
        <v>0.42947999999999997</v>
      </c>
      <c r="I12" s="43">
        <f>'Gas Calculations'!$C$24</f>
        <v>0.3412</v>
      </c>
      <c r="J12" s="43">
        <f t="shared" si="1"/>
        <v>0</v>
      </c>
      <c r="K12" s="26"/>
    </row>
    <row r="13" spans="1:11" x14ac:dyDescent="0.35">
      <c r="A13" s="26"/>
      <c r="B13" s="16" t="s">
        <v>26</v>
      </c>
      <c r="C13" s="12">
        <v>44664</v>
      </c>
      <c r="D13" s="5">
        <f>IFERROR(VLOOKUP(C13,'Gas Wc'!$D$23:$W$1048576,20,FALSE),"NA")*(1+'Gas Calculations'!$C$18)</f>
        <v>217.01397204988757</v>
      </c>
      <c r="E13" s="5">
        <f>IFERROR(VLOOKUP(C13,'Gas Wpc'!$D$22:$V$204,19,FALSE),"NA")*(1+'Gas Calculations'!$C$18)</f>
        <v>201.56311070865891</v>
      </c>
      <c r="F13" s="43">
        <f>IFERROR(VLOOKUP(C13,'Gas Wpc'!$D$22:$W$204,20,FALSE),"NA")*MAX(0,E13-D13)</f>
        <v>0</v>
      </c>
      <c r="G13" s="43">
        <f t="shared" si="0"/>
        <v>0.85</v>
      </c>
      <c r="H13" s="43">
        <f>VLOOKUP(MONTH(C13),'Gas Calculations'!$A$39:'Gas Calculations'!$F$50,6,FALSE)</f>
        <v>0.42947999999999997</v>
      </c>
      <c r="I13" s="43">
        <f>'Gas Calculations'!$C$24</f>
        <v>0.3412</v>
      </c>
      <c r="J13" s="43">
        <f t="shared" si="1"/>
        <v>0</v>
      </c>
      <c r="K13" s="26"/>
    </row>
    <row r="14" spans="1:11" x14ac:dyDescent="0.35">
      <c r="A14" s="26"/>
      <c r="B14" s="16" t="s">
        <v>27</v>
      </c>
      <c r="C14" s="12">
        <v>44665</v>
      </c>
      <c r="D14" s="5">
        <f>IFERROR(VLOOKUP(C14,'Gas Wc'!$D$23:$W$1048576,20,FALSE),"NA")*(1+'Gas Calculations'!$C$18)</f>
        <v>217.01397204988757</v>
      </c>
      <c r="E14" s="5">
        <f>IFERROR(VLOOKUP(C14,'Gas Wpc'!$D$22:$V$204,19,FALSE),"NA")*(1+'Gas Calculations'!$C$18)</f>
        <v>201.56311070865891</v>
      </c>
      <c r="F14" s="43">
        <f>IFERROR(VLOOKUP(C14,'Gas Wpc'!$D$22:$W$204,20,FALSE),"NA")*MAX(0,E14-D14)</f>
        <v>0</v>
      </c>
      <c r="G14" s="43">
        <f t="shared" si="0"/>
        <v>0.85</v>
      </c>
      <c r="H14" s="43">
        <f>VLOOKUP(MONTH(C14),'Gas Calculations'!$A$39:'Gas Calculations'!$F$50,6,FALSE)</f>
        <v>0.42947999999999997</v>
      </c>
      <c r="I14" s="43">
        <f>'Gas Calculations'!$C$24</f>
        <v>0.3412</v>
      </c>
      <c r="J14" s="43">
        <f t="shared" si="1"/>
        <v>0</v>
      </c>
      <c r="K14" s="26"/>
    </row>
    <row r="15" spans="1:11" x14ac:dyDescent="0.35">
      <c r="A15" s="26"/>
      <c r="B15" s="16" t="s">
        <v>25</v>
      </c>
      <c r="C15" s="12">
        <v>44670</v>
      </c>
      <c r="D15" s="5">
        <f>IFERROR(VLOOKUP(C15,'Gas Wc'!$D$23:$W$1048576,20,FALSE),"NA")*(1+'Gas Calculations'!$C$18)</f>
        <v>198.12294603975246</v>
      </c>
      <c r="E15" s="5">
        <f>IFERROR(VLOOKUP(C15,'Gas Wpc'!$D$22:$V$204,19,FALSE),"NA")*(1+'Gas Calculations'!$C$18)</f>
        <v>205.85664888778027</v>
      </c>
      <c r="F15" s="43">
        <f>IFERROR(VLOOKUP(C15,'Gas Wpc'!$D$22:$W$204,20,FALSE),"NA")*MAX(0,E15-D15)</f>
        <v>7.1744474767861233</v>
      </c>
      <c r="G15" s="43">
        <f t="shared" si="0"/>
        <v>0.85</v>
      </c>
      <c r="H15" s="43">
        <f>VLOOKUP(MONTH(C15),'Gas Calculations'!$A$39:'Gas Calculations'!$F$50,6,FALSE)</f>
        <v>0.42947999999999997</v>
      </c>
      <c r="I15" s="43">
        <f>'Gas Calculations'!$C$24</f>
        <v>0.3412</v>
      </c>
      <c r="J15" s="43">
        <f t="shared" si="1"/>
        <v>0.89363331930977674</v>
      </c>
      <c r="K15" s="26"/>
    </row>
    <row r="16" spans="1:11" x14ac:dyDescent="0.35">
      <c r="A16" s="26"/>
      <c r="B16" s="16" t="s">
        <v>26</v>
      </c>
      <c r="C16" s="12">
        <v>44671</v>
      </c>
      <c r="D16" s="5">
        <f>IFERROR(VLOOKUP(C16,'Gas Wc'!$D$23:$W$1048576,20,FALSE),"NA")*(1+'Gas Calculations'!$C$18)</f>
        <v>198.12294603975246</v>
      </c>
      <c r="E16" s="5">
        <f>IFERROR(VLOOKUP(C16,'Gas Wpc'!$D$22:$V$204,19,FALSE),"NA")*(1+'Gas Calculations'!$C$18)</f>
        <v>205.85664888778027</v>
      </c>
      <c r="F16" s="43">
        <f>IFERROR(VLOOKUP(C16,'Gas Wpc'!$D$22:$W$204,20,FALSE),"NA")*MAX(0,E16-D16)</f>
        <v>7.158468751893504</v>
      </c>
      <c r="G16" s="43">
        <f t="shared" si="0"/>
        <v>0.85</v>
      </c>
      <c r="H16" s="43">
        <f>VLOOKUP(MONTH(C16),'Gas Calculations'!$A$39:'Gas Calculations'!$F$50,6,FALSE)</f>
        <v>0.42947999999999997</v>
      </c>
      <c r="I16" s="43">
        <f>'Gas Calculations'!$C$24</f>
        <v>0.3412</v>
      </c>
      <c r="J16" s="43">
        <f t="shared" si="1"/>
        <v>0.89164304465652566</v>
      </c>
      <c r="K16" s="26"/>
    </row>
    <row r="17" spans="1:11" x14ac:dyDescent="0.35">
      <c r="A17" s="26"/>
      <c r="B17" s="16" t="s">
        <v>27</v>
      </c>
      <c r="C17" s="12">
        <v>44672</v>
      </c>
      <c r="D17" s="5">
        <f>IFERROR(VLOOKUP(C17,'Gas Wc'!$D$23:$W$1048576,20,FALSE),"NA")*(1+'Gas Calculations'!$C$18)</f>
        <v>198.12294603975246</v>
      </c>
      <c r="E17" s="5">
        <f>IFERROR(VLOOKUP(C17,'Gas Wpc'!$D$22:$V$204,19,FALSE),"NA")*(1+'Gas Calculations'!$C$18)</f>
        <v>205.85664888778027</v>
      </c>
      <c r="F17" s="43">
        <f>IFERROR(VLOOKUP(C17,'Gas Wpc'!$D$22:$W$204,20,FALSE),"NA")*MAX(0,E17-D17)</f>
        <v>7.1424900270008846</v>
      </c>
      <c r="G17" s="43">
        <f t="shared" si="0"/>
        <v>0.85</v>
      </c>
      <c r="H17" s="43">
        <f>VLOOKUP(MONTH(C17),'Gas Calculations'!$A$39:'Gas Calculations'!$F$50,6,FALSE)</f>
        <v>0.42947999999999997</v>
      </c>
      <c r="I17" s="43">
        <f>'Gas Calculations'!$C$24</f>
        <v>0.3412</v>
      </c>
      <c r="J17" s="43">
        <f t="shared" si="1"/>
        <v>0.88965277000327436</v>
      </c>
      <c r="K17" s="26"/>
    </row>
    <row r="18" spans="1:11" x14ac:dyDescent="0.35">
      <c r="A18" s="26"/>
      <c r="B18" s="16" t="s">
        <v>22</v>
      </c>
      <c r="C18" s="12">
        <v>44673</v>
      </c>
      <c r="D18" s="5">
        <f>IFERROR(VLOOKUP(C18,'Gas Wc'!$D$23:$W$1048576,20,FALSE),"NA")*(1+'Gas Calculations'!$C$18)</f>
        <v>198.12294603975246</v>
      </c>
      <c r="E18" s="5">
        <f>IFERROR(VLOOKUP(C18,'Gas Wpc'!$D$22:$V$204,19,FALSE),"NA")*(1+'Gas Calculations'!$C$18)</f>
        <v>205.85664888778027</v>
      </c>
      <c r="F18" s="43">
        <f>IFERROR(VLOOKUP(C18,'Gas Wpc'!$D$22:$W$204,20,FALSE),"NA")*MAX(0,E18-D18)</f>
        <v>7.1265113021082644</v>
      </c>
      <c r="G18" s="43">
        <f t="shared" si="0"/>
        <v>0.85</v>
      </c>
      <c r="H18" s="43">
        <f>VLOOKUP(MONTH(C18),'Gas Calculations'!$A$39:'Gas Calculations'!$F$50,6,FALSE)</f>
        <v>0.42947999999999997</v>
      </c>
      <c r="I18" s="43">
        <f>'Gas Calculations'!$C$24</f>
        <v>0.3412</v>
      </c>
      <c r="J18" s="43">
        <f t="shared" si="1"/>
        <v>0.88766249535002328</v>
      </c>
      <c r="K18" s="26"/>
    </row>
    <row r="19" spans="1:11" x14ac:dyDescent="0.35">
      <c r="A19" s="26"/>
      <c r="B19" s="16" t="s">
        <v>24</v>
      </c>
      <c r="C19" s="12">
        <v>44676</v>
      </c>
      <c r="D19" s="5">
        <f>IFERROR(VLOOKUP(C19,'Gas Wc'!$D$23:$W$1048576,20,FALSE),"NA")*(1+'Gas Calculations'!$C$18)</f>
        <v>183.33793304035703</v>
      </c>
      <c r="E19" s="5">
        <f>IFERROR(VLOOKUP(C19,'Gas Wpc'!$D$22:$V$204,19,FALSE),"NA")*(1+'Gas Calculations'!$C$18)</f>
        <v>211.01899316774055</v>
      </c>
      <c r="F19" s="43">
        <f>IFERROR(VLOOKUP(C19,'Gas Wpc'!$D$22:$W$204,20,FALSE),"NA")*MAX(0,E19-D19)</f>
        <v>25.336176934774585</v>
      </c>
      <c r="G19" s="43">
        <f t="shared" si="0"/>
        <v>0.85</v>
      </c>
      <c r="H19" s="43">
        <f>VLOOKUP(MONTH(C19),'Gas Calculations'!$A$39:'Gas Calculations'!$F$50,6,FALSE)</f>
        <v>0.42947999999999997</v>
      </c>
      <c r="I19" s="43">
        <f>'Gas Calculations'!$C$24</f>
        <v>0.3412</v>
      </c>
      <c r="J19" s="43">
        <f t="shared" si="1"/>
        <v>3.1558181959100251</v>
      </c>
      <c r="K19" s="26"/>
    </row>
    <row r="20" spans="1:11" x14ac:dyDescent="0.35">
      <c r="A20" s="26"/>
      <c r="B20" s="16" t="s">
        <v>25</v>
      </c>
      <c r="C20" s="12">
        <v>44677</v>
      </c>
      <c r="D20" s="5">
        <f>IFERROR(VLOOKUP(C20,'Gas Wc'!$D$23:$W$1048576,20,FALSE),"NA")*(1+'Gas Calculations'!$C$18)</f>
        <v>183.33793304035703</v>
      </c>
      <c r="E20" s="5">
        <f>IFERROR(VLOOKUP(C20,'Gas Wpc'!$D$22:$V$204,19,FALSE),"NA")*(1+'Gas Calculations'!$C$18)</f>
        <v>211.01899316774055</v>
      </c>
      <c r="F20" s="43">
        <f>IFERROR(VLOOKUP(C20,'Gas Wpc'!$D$22:$W$204,20,FALSE),"NA")*MAX(0,E20-D20)</f>
        <v>25.278984661784119</v>
      </c>
      <c r="G20" s="43">
        <f t="shared" si="0"/>
        <v>0.85</v>
      </c>
      <c r="H20" s="43">
        <f>VLOOKUP(MONTH(C20),'Gas Calculations'!$A$39:'Gas Calculations'!$F$50,6,FALSE)</f>
        <v>0.42947999999999997</v>
      </c>
      <c r="I20" s="43">
        <f>'Gas Calculations'!$C$24</f>
        <v>0.3412</v>
      </c>
      <c r="J20" s="43">
        <f t="shared" si="1"/>
        <v>3.1486944528041332</v>
      </c>
      <c r="K20" s="26"/>
    </row>
    <row r="21" spans="1:11" x14ac:dyDescent="0.35">
      <c r="A21" s="26"/>
      <c r="B21" s="16" t="s">
        <v>26</v>
      </c>
      <c r="C21" s="12">
        <v>44678</v>
      </c>
      <c r="D21" s="5">
        <f>IFERROR(VLOOKUP(C21,'Gas Wc'!$D$23:$W$1048576,20,FALSE),"NA")*(1+'Gas Calculations'!$C$18)</f>
        <v>183.33793304035703</v>
      </c>
      <c r="E21" s="5">
        <f>IFERROR(VLOOKUP(C21,'Gas Wpc'!$D$22:$V$204,19,FALSE),"NA")*(1+'Gas Calculations'!$C$18)</f>
        <v>211.01899316774055</v>
      </c>
      <c r="F21" s="43">
        <f>IFERROR(VLOOKUP(C21,'Gas Wpc'!$D$22:$W$204,20,FALSE),"NA")*MAX(0,E21-D21)</f>
        <v>25.221792388793659</v>
      </c>
      <c r="G21" s="43">
        <f t="shared" si="0"/>
        <v>0.85</v>
      </c>
      <c r="H21" s="43">
        <f>VLOOKUP(MONTH(C21),'Gas Calculations'!$A$39:'Gas Calculations'!$F$50,6,FALSE)</f>
        <v>0.42947999999999997</v>
      </c>
      <c r="I21" s="43">
        <f>'Gas Calculations'!$C$24</f>
        <v>0.3412</v>
      </c>
      <c r="J21" s="43">
        <f t="shared" si="1"/>
        <v>3.1415707096982417</v>
      </c>
      <c r="K21" s="26"/>
    </row>
    <row r="22" spans="1:11" x14ac:dyDescent="0.35">
      <c r="A22" s="26"/>
      <c r="B22" s="16" t="s">
        <v>27</v>
      </c>
      <c r="C22" s="12">
        <v>44679</v>
      </c>
      <c r="D22" s="5">
        <f>IFERROR(VLOOKUP(C22,'Gas Wc'!$D$23:$W$1048576,20,FALSE),"NA")*(1+'Gas Calculations'!$C$18)</f>
        <v>183.33793304035703</v>
      </c>
      <c r="E22" s="5">
        <f>IFERROR(VLOOKUP(C22,'Gas Wpc'!$D$22:$V$204,19,FALSE),"NA")*(1+'Gas Calculations'!$C$18)</f>
        <v>211.01899316774055</v>
      </c>
      <c r="F22" s="43">
        <f>IFERROR(VLOOKUP(C22,'Gas Wpc'!$D$22:$W$204,20,FALSE),"NA")*MAX(0,E22-D22)</f>
        <v>25.164600115803196</v>
      </c>
      <c r="G22" s="43">
        <f t="shared" si="0"/>
        <v>0.85</v>
      </c>
      <c r="H22" s="43">
        <f>VLOOKUP(MONTH(C22),'Gas Calculations'!$A$39:'Gas Calculations'!$F$50,6,FALSE)</f>
        <v>0.42947999999999997</v>
      </c>
      <c r="I22" s="43">
        <f>'Gas Calculations'!$C$24</f>
        <v>0.3412</v>
      </c>
      <c r="J22" s="43">
        <f t="shared" si="1"/>
        <v>3.1344469665923498</v>
      </c>
      <c r="K22" s="26"/>
    </row>
    <row r="23" spans="1:11" x14ac:dyDescent="0.35">
      <c r="A23" s="26"/>
      <c r="B23" s="16" t="s">
        <v>22</v>
      </c>
      <c r="C23" s="12">
        <v>44680</v>
      </c>
      <c r="D23" s="5">
        <f>IFERROR(VLOOKUP(C23,'Gas Wc'!$D$23:$W$1048576,20,FALSE),"NA")*(1+'Gas Calculations'!$C$18)</f>
        <v>183.33793304035703</v>
      </c>
      <c r="E23" s="5">
        <f>IFERROR(VLOOKUP(C23,'Gas Wpc'!$D$22:$V$204,19,FALSE),"NA")*(1+'Gas Calculations'!$C$18)</f>
        <v>211.01899316774055</v>
      </c>
      <c r="F23" s="43">
        <f>IFERROR(VLOOKUP(C23,'Gas Wpc'!$D$22:$W$204,20,FALSE),"NA")*MAX(0,E23-D23)</f>
        <v>25.107407842812734</v>
      </c>
      <c r="G23" s="43">
        <f t="shared" si="0"/>
        <v>0.85</v>
      </c>
      <c r="H23" s="43">
        <f>VLOOKUP(MONTH(C23),'Gas Calculations'!$A$39:'Gas Calculations'!$F$50,6,FALSE)</f>
        <v>0.42947999999999997</v>
      </c>
      <c r="I23" s="43">
        <f>'Gas Calculations'!$C$24</f>
        <v>0.3412</v>
      </c>
      <c r="J23" s="43">
        <f t="shared" si="1"/>
        <v>3.1273232234864579</v>
      </c>
      <c r="K23" s="26"/>
    </row>
    <row r="24" spans="1:11" x14ac:dyDescent="0.35">
      <c r="A24" s="26"/>
      <c r="B24" s="16" t="s">
        <v>25</v>
      </c>
      <c r="C24" s="12">
        <v>44684</v>
      </c>
      <c r="D24" s="5">
        <f>IFERROR(VLOOKUP(C24,'Gas Wc'!$D$23:$W$1048576,20,FALSE),"NA")*(1+'Gas Calculations'!$C$18)</f>
        <v>167.60715443135391</v>
      </c>
      <c r="E24" s="5">
        <f>IFERROR(VLOOKUP(C24,'Gas Wpc'!$D$22:$V$204,19,FALSE),"NA")*(1+'Gas Calculations'!$C$18)</f>
        <v>215.11757008898621</v>
      </c>
      <c r="F24" s="25">
        <f>IFERROR(VLOOKUP(C24,'Gas Wpc'!$D$22:$W$204,20,FALSE),"NA")*MAX(0,E24-D24)</f>
        <v>42.700476882376144</v>
      </c>
      <c r="G24" s="43">
        <f t="shared" si="0"/>
        <v>0.85</v>
      </c>
      <c r="H24" s="43">
        <f>VLOOKUP(MONTH(C24),'Gas Calculations'!$A$39:'Gas Calculations'!$F$50,6,FALSE)</f>
        <v>0.49098000000000003</v>
      </c>
      <c r="I24" s="43">
        <f>'Gas Calculations'!$C$24</f>
        <v>0.3412</v>
      </c>
      <c r="J24" s="43">
        <f t="shared" si="1"/>
        <v>6.080292542118416</v>
      </c>
      <c r="K24" s="26"/>
    </row>
    <row r="25" spans="1:11" x14ac:dyDescent="0.35">
      <c r="A25" s="26"/>
      <c r="B25" s="16" t="s">
        <v>26</v>
      </c>
      <c r="C25" s="12">
        <v>44685</v>
      </c>
      <c r="D25" s="20">
        <f>IFERROR(VLOOKUP(C25,'Gas Wc'!$D$23:$W$1048576,20,FALSE),"NA")*(1+'Gas Calculations'!$C$18)</f>
        <v>167.60715443135391</v>
      </c>
      <c r="E25" s="5">
        <f>IFERROR(VLOOKUP(C25,'Gas Wpc'!$D$22:$V$204,19,FALSE),"NA")*(1+'Gas Calculations'!$C$18)</f>
        <v>215.11757008898621</v>
      </c>
      <c r="F25" s="25">
        <f>IFERROR(VLOOKUP(C25,'Gas Wpc'!$D$22:$W$204,20,FALSE),"NA")*MAX(0,E25-D25)</f>
        <v>42.602314866554593</v>
      </c>
      <c r="G25" s="43">
        <f t="shared" si="0"/>
        <v>0.85</v>
      </c>
      <c r="H25" s="43">
        <f>VLOOKUP(MONTH(C25),'Gas Calculations'!$A$39:'Gas Calculations'!$F$50,6,FALSE)</f>
        <v>0.49098000000000003</v>
      </c>
      <c r="I25" s="43">
        <f>'Gas Calculations'!$C$24</f>
        <v>0.3412</v>
      </c>
      <c r="J25" s="43">
        <f t="shared" si="1"/>
        <v>6.0663148581135466</v>
      </c>
      <c r="K25" s="26"/>
    </row>
    <row r="26" spans="1:11" x14ac:dyDescent="0.35">
      <c r="A26" s="26"/>
      <c r="B26" s="16" t="s">
        <v>27</v>
      </c>
      <c r="C26" s="12">
        <v>44686</v>
      </c>
      <c r="D26" s="20">
        <f>IFERROR(VLOOKUP(C26,'Gas Wc'!$D$23:$W$1048576,20,FALSE),"NA")*(1+'Gas Calculations'!$C$18)</f>
        <v>167.60715443135391</v>
      </c>
      <c r="E26" s="5">
        <f>IFERROR(VLOOKUP(C26,'Gas Wpc'!$D$22:$V$204,19,FALSE),"NA")*(1+'Gas Calculations'!$C$18)</f>
        <v>215.11757008898621</v>
      </c>
      <c r="F26" s="25">
        <f>IFERROR(VLOOKUP(C26,'Gas Wpc'!$D$22:$W$204,20,FALSE),"NA")*MAX(0,E26-D26)</f>
        <v>42.504152850733036</v>
      </c>
      <c r="G26" s="43">
        <f t="shared" si="0"/>
        <v>0.85</v>
      </c>
      <c r="H26" s="43">
        <f>VLOOKUP(MONTH(C26),'Gas Calculations'!$A$39:'Gas Calculations'!$F$50,6,FALSE)</f>
        <v>0.49098000000000003</v>
      </c>
      <c r="I26" s="43">
        <f>'Gas Calculations'!$C$24</f>
        <v>0.3412</v>
      </c>
      <c r="J26" s="43">
        <f t="shared" si="1"/>
        <v>6.0523371741086756</v>
      </c>
      <c r="K26" s="26"/>
    </row>
    <row r="27" spans="1:11" x14ac:dyDescent="0.35">
      <c r="A27" s="26"/>
      <c r="B27" s="16" t="s">
        <v>22</v>
      </c>
      <c r="C27" s="12">
        <v>44687</v>
      </c>
      <c r="D27" s="20">
        <f>IFERROR(VLOOKUP(C27,'Gas Wc'!$D$23:$W$1048576,20,FALSE),"NA")*(1+'Gas Calculations'!$C$18)</f>
        <v>167.60715443135391</v>
      </c>
      <c r="E27" s="5">
        <f>IFERROR(VLOOKUP(C27,'Gas Wpc'!$D$22:$V$204,19,FALSE),"NA")*(1+'Gas Calculations'!$C$18)</f>
        <v>215.11757008898621</v>
      </c>
      <c r="F27" s="25">
        <f>IFERROR(VLOOKUP(C27,'Gas Wpc'!$D$22:$W$204,20,FALSE),"NA")*MAX(0,E27-D27)</f>
        <v>42.405990834911478</v>
      </c>
      <c r="G27" s="43">
        <f t="shared" si="0"/>
        <v>0.85</v>
      </c>
      <c r="H27" s="43">
        <f>VLOOKUP(MONTH(C27),'Gas Calculations'!$A$39:'Gas Calculations'!$F$50,6,FALSE)</f>
        <v>0.49098000000000003</v>
      </c>
      <c r="I27" s="43">
        <f>'Gas Calculations'!$C$24</f>
        <v>0.3412</v>
      </c>
      <c r="J27" s="43">
        <f t="shared" si="1"/>
        <v>6.0383594901038053</v>
      </c>
      <c r="K27" s="26"/>
    </row>
    <row r="28" spans="1:11" x14ac:dyDescent="0.35">
      <c r="A28" s="26"/>
      <c r="B28" s="16" t="s">
        <v>24</v>
      </c>
      <c r="C28" s="12">
        <v>44690</v>
      </c>
      <c r="D28" s="20">
        <f>IFERROR(VLOOKUP(C28,'Gas Wc'!$D$23:$W$1048576,20,FALSE),"NA")*(1+'Gas Calculations'!$C$18)</f>
        <v>152.23410438368384</v>
      </c>
      <c r="E28" s="5">
        <f>IFERROR(VLOOKUP(C28,'Gas Wpc'!$D$22:$V$204,19,FALSE),"NA")*(1+'Gas Calculations'!$C$18)</f>
        <v>219.74593389185759</v>
      </c>
      <c r="F28" s="25">
        <f>IFERROR(VLOOKUP(C28,'Gas Wpc'!$D$22:$W$204,20,FALSE),"NA")*MAX(0,E28-D28)</f>
        <v>59.84003070042673</v>
      </c>
      <c r="G28" s="43">
        <f t="shared" si="0"/>
        <v>0.85</v>
      </c>
      <c r="H28" s="43">
        <f>VLOOKUP(MONTH(C28),'Gas Calculations'!$A$39:'Gas Calculations'!$F$50,6,FALSE)</f>
        <v>0.49098000000000003</v>
      </c>
      <c r="I28" s="43">
        <f>'Gas Calculations'!$C$24</f>
        <v>0.3412</v>
      </c>
      <c r="J28" s="43">
        <f t="shared" si="1"/>
        <v>8.5208625044211654</v>
      </c>
      <c r="K28" s="26"/>
    </row>
    <row r="29" spans="1:11" x14ac:dyDescent="0.35">
      <c r="A29" s="26"/>
      <c r="B29" s="16" t="s">
        <v>25</v>
      </c>
      <c r="C29" s="12">
        <v>44691</v>
      </c>
      <c r="D29" s="20">
        <f>IFERROR(VLOOKUP(C29,'Gas Wc'!$D$23:$W$1048576,20,FALSE),"NA")*(1+'Gas Calculations'!$C$18)</f>
        <v>152.23410438368384</v>
      </c>
      <c r="E29" s="5">
        <f>IFERROR(VLOOKUP(C29,'Gas Wpc'!$D$22:$V$204,19,FALSE),"NA")*(1+'Gas Calculations'!$C$18)</f>
        <v>219.74593389185759</v>
      </c>
      <c r="F29" s="25">
        <f>IFERROR(VLOOKUP(C29,'Gas Wpc'!$D$22:$W$204,20,FALSE),"NA")*MAX(0,E29-D29)</f>
        <v>59.700543449376788</v>
      </c>
      <c r="G29" s="43">
        <f t="shared" si="0"/>
        <v>0.85</v>
      </c>
      <c r="H29" s="43">
        <f>VLOOKUP(MONTH(C29),'Gas Calculations'!$A$39:'Gas Calculations'!$F$50,6,FALSE)</f>
        <v>0.49098000000000003</v>
      </c>
      <c r="I29" s="43">
        <f>'Gas Calculations'!$C$24</f>
        <v>0.3412</v>
      </c>
      <c r="J29" s="43">
        <f t="shared" si="1"/>
        <v>8.50100035406121</v>
      </c>
      <c r="K29" s="26"/>
    </row>
    <row r="30" spans="1:11" x14ac:dyDescent="0.35">
      <c r="A30" s="26"/>
      <c r="B30" s="16" t="s">
        <v>26</v>
      </c>
      <c r="C30" s="12">
        <v>44692</v>
      </c>
      <c r="D30" s="20">
        <f>IFERROR(VLOOKUP(C30,'Gas Wc'!$D$23:$W$1048576,20,FALSE),"NA")*(1+'Gas Calculations'!$C$18)</f>
        <v>152.23410438368384</v>
      </c>
      <c r="E30" s="5">
        <f>IFERROR(VLOOKUP(C30,'Gas Wpc'!$D$22:$V$204,19,FALSE),"NA")*(1+'Gas Calculations'!$C$18)</f>
        <v>219.74593389185759</v>
      </c>
      <c r="F30" s="25">
        <f>IFERROR(VLOOKUP(C30,'Gas Wpc'!$D$22:$W$204,20,FALSE),"NA")*MAX(0,E30-D30)</f>
        <v>59.561056198326838</v>
      </c>
      <c r="G30" s="43">
        <f t="shared" si="0"/>
        <v>0.85</v>
      </c>
      <c r="H30" s="43">
        <f>VLOOKUP(MONTH(C30),'Gas Calculations'!$A$39:'Gas Calculations'!$F$50,6,FALSE)</f>
        <v>0.49098000000000003</v>
      </c>
      <c r="I30" s="43">
        <f>'Gas Calculations'!$C$24</f>
        <v>0.3412</v>
      </c>
      <c r="J30" s="43">
        <f t="shared" si="1"/>
        <v>8.4811382037012546</v>
      </c>
      <c r="K30" s="26"/>
    </row>
    <row r="31" spans="1:11" x14ac:dyDescent="0.35">
      <c r="A31" s="26"/>
      <c r="B31" s="16" t="s">
        <v>27</v>
      </c>
      <c r="C31" s="12">
        <v>44693</v>
      </c>
      <c r="D31" s="20">
        <f>IFERROR(VLOOKUP(C31,'Gas Wc'!$D$23:$W$1048576,20,FALSE),"NA")*(1+'Gas Calculations'!$C$18)</f>
        <v>152.23410438368384</v>
      </c>
      <c r="E31" s="5">
        <f>IFERROR(VLOOKUP(C31,'Gas Wpc'!$D$22:$V$204,19,FALSE),"NA")*(1+'Gas Calculations'!$C$18)</f>
        <v>219.74593389185759</v>
      </c>
      <c r="F31" s="25">
        <f>IFERROR(VLOOKUP(C31,'Gas Wpc'!$D$22:$W$204,20,FALSE),"NA")*MAX(0,E31-D31)</f>
        <v>59.421568947276889</v>
      </c>
      <c r="G31" s="43">
        <f t="shared" si="0"/>
        <v>0.85</v>
      </c>
      <c r="H31" s="43">
        <f>VLOOKUP(MONTH(C31),'Gas Calculations'!$A$39:'Gas Calculations'!$F$50,6,FALSE)</f>
        <v>0.49098000000000003</v>
      </c>
      <c r="I31" s="43">
        <f>'Gas Calculations'!$C$24</f>
        <v>0.3412</v>
      </c>
      <c r="J31" s="43">
        <f t="shared" si="1"/>
        <v>8.4612760533412974</v>
      </c>
      <c r="K31" s="26"/>
    </row>
    <row r="32" spans="1:11" x14ac:dyDescent="0.35">
      <c r="A32" s="26"/>
      <c r="B32" s="16" t="s">
        <v>22</v>
      </c>
      <c r="C32" s="12">
        <v>44694</v>
      </c>
      <c r="D32" s="20">
        <f>IFERROR(VLOOKUP(C32,'Gas Wc'!$D$23:$W$1048576,20,FALSE),"NA")*(1+'Gas Calculations'!$C$18)</f>
        <v>152.23410438368384</v>
      </c>
      <c r="E32" s="5">
        <f>IFERROR(VLOOKUP(C32,'Gas Wpc'!$D$22:$V$204,19,FALSE),"NA")*(1+'Gas Calculations'!$C$18)</f>
        <v>219.74593389185759</v>
      </c>
      <c r="F32" s="25">
        <f>IFERROR(VLOOKUP(C32,'Gas Wpc'!$D$22:$W$204,20,FALSE),"NA")*MAX(0,E32-D32)</f>
        <v>59.282081696226939</v>
      </c>
      <c r="G32" s="43">
        <f t="shared" si="0"/>
        <v>0.85</v>
      </c>
      <c r="H32" s="43">
        <f>VLOOKUP(MONTH(C32),'Gas Calculations'!$A$39:'Gas Calculations'!$F$50,6,FALSE)</f>
        <v>0.49098000000000003</v>
      </c>
      <c r="I32" s="43">
        <f>'Gas Calculations'!$C$24</f>
        <v>0.3412</v>
      </c>
      <c r="J32" s="43">
        <f t="shared" si="1"/>
        <v>8.4414139029813402</v>
      </c>
      <c r="K32" s="26"/>
    </row>
    <row r="33" spans="1:11" x14ac:dyDescent="0.35">
      <c r="A33" s="26"/>
      <c r="B33" s="16" t="s">
        <v>24</v>
      </c>
      <c r="C33" s="12">
        <v>44697</v>
      </c>
      <c r="D33" s="20">
        <f>IFERROR(VLOOKUP(C33,'Gas Wc'!$D$23:$W$1048576,20,FALSE),"NA")*(1+'Gas Calculations'!$C$18)</f>
        <v>138.32902702904133</v>
      </c>
      <c r="E33" s="5">
        <f>IFERROR(VLOOKUP(C33,'Gas Wpc'!$D$22:$V$204,19,FALSE),"NA")*(1+'Gas Calculations'!$C$18)</f>
        <v>223.66994936656334</v>
      </c>
      <c r="F33" s="25">
        <f>IFERROR(VLOOKUP(C33,'Gas Wpc'!$D$22:$W$204,20,FALSE),"NA")*MAX(0,E33-D33)</f>
        <v>74.408820715773331</v>
      </c>
      <c r="G33" s="43">
        <f t="shared" si="0"/>
        <v>0.85</v>
      </c>
      <c r="H33" s="43">
        <f>VLOOKUP(MONTH(C33),'Gas Calculations'!$A$39:'Gas Calculations'!$F$50,6,FALSE)</f>
        <v>0.49098000000000003</v>
      </c>
      <c r="I33" s="43">
        <f>'Gas Calculations'!$C$24</f>
        <v>0.3412</v>
      </c>
      <c r="J33" s="43">
        <f t="shared" si="1"/>
        <v>10.595371075414713</v>
      </c>
      <c r="K33" s="26"/>
    </row>
    <row r="34" spans="1:11" x14ac:dyDescent="0.35">
      <c r="A34" s="26"/>
      <c r="B34" s="16" t="s">
        <v>25</v>
      </c>
      <c r="C34" s="12">
        <v>44698</v>
      </c>
      <c r="D34" s="20">
        <f>IFERROR(VLOOKUP(C34,'Gas Wc'!$D$23:$W$1048576,20,FALSE),"NA")*(1+'Gas Calculations'!$C$18)</f>
        <v>138.32902702904133</v>
      </c>
      <c r="E34" s="5">
        <f>IFERROR(VLOOKUP(C34,'Gas Wpc'!$D$22:$V$204,19,FALSE),"NA")*(1+'Gas Calculations'!$C$18)</f>
        <v>223.66994936656334</v>
      </c>
      <c r="F34" s="25">
        <f>IFERROR(VLOOKUP(C34,'Gas Wpc'!$D$22:$W$204,20,FALSE),"NA")*MAX(0,E34-D34)</f>
        <v>74.232496496067697</v>
      </c>
      <c r="G34" s="43">
        <f t="shared" si="0"/>
        <v>0.85</v>
      </c>
      <c r="H34" s="43">
        <f>VLOOKUP(MONTH(C34),'Gas Calculations'!$A$39:'Gas Calculations'!$F$50,6,FALSE)</f>
        <v>0.49098000000000003</v>
      </c>
      <c r="I34" s="43">
        <f>'Gas Calculations'!$C$24</f>
        <v>0.3412</v>
      </c>
      <c r="J34" s="43">
        <f t="shared" si="1"/>
        <v>10.570263561017995</v>
      </c>
      <c r="K34" s="26"/>
    </row>
    <row r="35" spans="1:11" x14ac:dyDescent="0.35">
      <c r="A35" s="26"/>
      <c r="B35" s="16" t="s">
        <v>26</v>
      </c>
      <c r="C35" s="12">
        <v>44699</v>
      </c>
      <c r="D35" s="20">
        <f>IFERROR(VLOOKUP(C35,'Gas Wc'!$D$23:$W$1048576,20,FALSE),"NA")*(1+'Gas Calculations'!$C$18)</f>
        <v>138.32902702904133</v>
      </c>
      <c r="E35" s="5">
        <f>IFERROR(VLOOKUP(C35,'Gas Wpc'!$D$22:$V$204,19,FALSE),"NA")*(1+'Gas Calculations'!$C$18)</f>
        <v>223.66994936656334</v>
      </c>
      <c r="F35" s="25">
        <f>IFERROR(VLOOKUP(C35,'Gas Wpc'!$D$22:$W$204,20,FALSE),"NA")*MAX(0,E35-D35)</f>
        <v>74.056172276362076</v>
      </c>
      <c r="G35" s="43">
        <f t="shared" si="0"/>
        <v>0.85</v>
      </c>
      <c r="H35" s="43">
        <f>VLOOKUP(MONTH(C35),'Gas Calculations'!$A$39:'Gas Calculations'!$F$50,6,FALSE)</f>
        <v>0.49098000000000003</v>
      </c>
      <c r="I35" s="43">
        <f>'Gas Calculations'!$C$24</f>
        <v>0.3412</v>
      </c>
      <c r="J35" s="43">
        <f t="shared" si="1"/>
        <v>10.545156046621278</v>
      </c>
      <c r="K35" s="26"/>
    </row>
    <row r="36" spans="1:11" x14ac:dyDescent="0.35">
      <c r="A36" s="26"/>
      <c r="B36" s="16" t="s">
        <v>27</v>
      </c>
      <c r="C36" s="12">
        <v>44700</v>
      </c>
      <c r="D36" s="20">
        <f>IFERROR(VLOOKUP(C36,'Gas Wc'!$D$23:$W$1048576,20,FALSE),"NA")*(1+'Gas Calculations'!$C$18)</f>
        <v>138.32902702904133</v>
      </c>
      <c r="E36" s="5">
        <f>IFERROR(VLOOKUP(C36,'Gas Wpc'!$D$22:$V$204,19,FALSE),"NA")*(1+'Gas Calculations'!$C$18)</f>
        <v>223.66994936656334</v>
      </c>
      <c r="F36" s="25">
        <f>IFERROR(VLOOKUP(C36,'Gas Wpc'!$D$22:$W$204,20,FALSE),"NA")*MAX(0,E36-D36)</f>
        <v>73.879848056656456</v>
      </c>
      <c r="G36" s="43">
        <f t="shared" si="0"/>
        <v>0.85</v>
      </c>
      <c r="H36" s="43">
        <f>VLOOKUP(MONTH(C36),'Gas Calculations'!$A$39:'Gas Calculations'!$F$50,6,FALSE)</f>
        <v>0.49098000000000003</v>
      </c>
      <c r="I36" s="43">
        <f>'Gas Calculations'!$C$24</f>
        <v>0.3412</v>
      </c>
      <c r="J36" s="43">
        <f t="shared" si="1"/>
        <v>10.520048532224562</v>
      </c>
      <c r="K36" s="26"/>
    </row>
    <row r="37" spans="1:11" x14ac:dyDescent="0.35">
      <c r="A37" s="26"/>
      <c r="B37" s="16" t="s">
        <v>22</v>
      </c>
      <c r="C37" s="12">
        <v>44701</v>
      </c>
      <c r="D37" s="20">
        <f>IFERROR(VLOOKUP(C37,'Gas Wc'!$D$23:$W$1048576,20,FALSE),"NA")*(1+'Gas Calculations'!$C$18)</f>
        <v>138.32902702904133</v>
      </c>
      <c r="E37" s="5">
        <f>IFERROR(VLOOKUP(C37,'Gas Wpc'!$D$22:$V$204,19,FALSE),"NA")*(1+'Gas Calculations'!$C$18)</f>
        <v>223.66994936656334</v>
      </c>
      <c r="F37" s="25">
        <f>IFERROR(VLOOKUP(C37,'Gas Wpc'!$D$22:$W$204,20,FALSE),"NA")*MAX(0,E37-D37)</f>
        <v>73.879848056656456</v>
      </c>
      <c r="G37" s="43">
        <f t="shared" si="0"/>
        <v>0.85</v>
      </c>
      <c r="H37" s="43">
        <f>VLOOKUP(MONTH(C37),'Gas Calculations'!$A$39:'Gas Calculations'!$F$50,6,FALSE)</f>
        <v>0.49098000000000003</v>
      </c>
      <c r="I37" s="43">
        <f>'Gas Calculations'!$C$24</f>
        <v>0.3412</v>
      </c>
      <c r="J37" s="43">
        <f t="shared" si="1"/>
        <v>10.520048532224562</v>
      </c>
      <c r="K37" s="26"/>
    </row>
    <row r="38" spans="1:11" x14ac:dyDescent="0.35">
      <c r="A38" s="26"/>
      <c r="B38" s="16" t="s">
        <v>24</v>
      </c>
      <c r="C38" s="12">
        <v>44704</v>
      </c>
      <c r="D38" s="20">
        <f>IFERROR(VLOOKUP(C38,'Gas Wc'!$D$23:$W$1048576,20,FALSE),"NA")*(1+'Gas Calculations'!$C$18)</f>
        <v>124.3383441958424</v>
      </c>
      <c r="E38" s="5">
        <f>IFERROR(VLOOKUP(C38,'Gas Wpc'!$D$22:$V$204,19,FALSE),"NA")*(1+'Gas Calculations'!$C$18)</f>
        <v>227.86425234168797</v>
      </c>
      <c r="F38" s="25">
        <f>IFERROR(VLOOKUP(C38,'Gas Wpc'!$D$22:$W$204,20,FALSE),"NA")*MAX(0,E38-D38)</f>
        <v>89.622635357663839</v>
      </c>
      <c r="G38" s="43">
        <f t="shared" si="0"/>
        <v>0.85</v>
      </c>
      <c r="H38" s="43">
        <f>VLOOKUP(MONTH(C38),'Gas Calculations'!$A$39:'Gas Calculations'!$F$50,6,FALSE)</f>
        <v>0.49098000000000003</v>
      </c>
      <c r="I38" s="43">
        <f>'Gas Calculations'!$C$24</f>
        <v>0.3412</v>
      </c>
      <c r="J38" s="43">
        <f t="shared" si="1"/>
        <v>12.761727295722839</v>
      </c>
      <c r="K38" s="26"/>
    </row>
    <row r="39" spans="1:11" x14ac:dyDescent="0.35">
      <c r="A39" s="26"/>
      <c r="B39" s="16" t="s">
        <v>25</v>
      </c>
      <c r="C39" s="12">
        <v>44705</v>
      </c>
      <c r="D39" s="20">
        <f>IFERROR(VLOOKUP(C39,'Gas Wc'!$D$23:$W$1048576,20,FALSE),"NA")*(1+'Gas Calculations'!$C$18)</f>
        <v>124.3383441958424</v>
      </c>
      <c r="E39" s="5">
        <f>IFERROR(VLOOKUP(C39,'Gas Wpc'!$D$22:$V$204,19,FALSE),"NA")*(1+'Gas Calculations'!$C$18)</f>
        <v>227.86425234168797</v>
      </c>
      <c r="F39" s="25">
        <f>IFERROR(VLOOKUP(C39,'Gas Wpc'!$D$22:$W$204,20,FALSE),"NA")*MAX(0,E39-D39)</f>
        <v>89.622635357663839</v>
      </c>
      <c r="G39" s="43">
        <f t="shared" si="0"/>
        <v>0.85</v>
      </c>
      <c r="H39" s="43">
        <f>VLOOKUP(MONTH(C39),'Gas Calculations'!$A$39:'Gas Calculations'!$F$50,6,FALSE)</f>
        <v>0.49098000000000003</v>
      </c>
      <c r="I39" s="43">
        <f>'Gas Calculations'!$C$24</f>
        <v>0.3412</v>
      </c>
      <c r="J39" s="43">
        <f t="shared" si="1"/>
        <v>12.761727295722839</v>
      </c>
      <c r="K39" s="26"/>
    </row>
    <row r="40" spans="1:11" x14ac:dyDescent="0.35">
      <c r="A40" s="26"/>
      <c r="B40" s="16" t="s">
        <v>26</v>
      </c>
      <c r="C40" s="12">
        <v>44706</v>
      </c>
      <c r="D40" s="20">
        <f>IFERROR(VLOOKUP(C40,'Gas Wc'!$D$23:$W$1048576,20,FALSE),"NA")*(1+'Gas Calculations'!$C$18)</f>
        <v>124.3383441958424</v>
      </c>
      <c r="E40" s="5">
        <f>IFERROR(VLOOKUP(C40,'Gas Wpc'!$D$22:$V$204,19,FALSE),"NA")*(1+'Gas Calculations'!$C$18)</f>
        <v>227.86425234168797</v>
      </c>
      <c r="F40" s="25">
        <f>IFERROR(VLOOKUP(C40,'Gas Wpc'!$D$22:$W$204,20,FALSE),"NA")*MAX(0,E40-D40)</f>
        <v>89.622635357663839</v>
      </c>
      <c r="G40" s="43">
        <f t="shared" si="0"/>
        <v>0.85</v>
      </c>
      <c r="H40" s="43">
        <f>VLOOKUP(MONTH(C40),'Gas Calculations'!$A$39:'Gas Calculations'!$F$50,6,FALSE)</f>
        <v>0.49098000000000003</v>
      </c>
      <c r="I40" s="43">
        <f>'Gas Calculations'!$C$24</f>
        <v>0.3412</v>
      </c>
      <c r="J40" s="43">
        <f t="shared" si="1"/>
        <v>12.761727295722839</v>
      </c>
      <c r="K40" s="26"/>
    </row>
    <row r="41" spans="1:11" x14ac:dyDescent="0.35">
      <c r="A41" s="26"/>
      <c r="B41" s="16" t="s">
        <v>27</v>
      </c>
      <c r="C41" s="12">
        <v>44707</v>
      </c>
      <c r="D41" s="20">
        <f>IFERROR(VLOOKUP(C41,'Gas Wc'!$D$23:$W$1048576,20,FALSE),"NA")*(1+'Gas Calculations'!$C$18)</f>
        <v>124.3383441958424</v>
      </c>
      <c r="E41" s="5">
        <f>IFERROR(VLOOKUP(C41,'Gas Wpc'!$D$22:$V$204,19,FALSE),"NA")*(1+'Gas Calculations'!$C$18)</f>
        <v>227.86425234168797</v>
      </c>
      <c r="F41" s="25">
        <f>IFERROR(VLOOKUP(C41,'Gas Wpc'!$D$22:$W$204,20,FALSE),"NA")*MAX(0,E41-D41)</f>
        <v>89.622635357663839</v>
      </c>
      <c r="G41" s="43">
        <f t="shared" si="0"/>
        <v>0.85</v>
      </c>
      <c r="H41" s="43">
        <f>VLOOKUP(MONTH(C41),'Gas Calculations'!$A$39:'Gas Calculations'!$F$50,6,FALSE)</f>
        <v>0.49098000000000003</v>
      </c>
      <c r="I41" s="43">
        <f>'Gas Calculations'!$C$24</f>
        <v>0.3412</v>
      </c>
      <c r="J41" s="43">
        <f t="shared" si="1"/>
        <v>12.761727295722839</v>
      </c>
      <c r="K41" s="26"/>
    </row>
    <row r="42" spans="1:11" x14ac:dyDescent="0.35">
      <c r="A42" s="26"/>
      <c r="B42" s="16" t="s">
        <v>22</v>
      </c>
      <c r="C42" s="12">
        <v>44708</v>
      </c>
      <c r="D42" s="20">
        <f>IFERROR(VLOOKUP(C42,'Gas Wc'!$D$23:$W$1048576,20,FALSE),"NA")*(1+'Gas Calculations'!$C$18)</f>
        <v>124.3383441958424</v>
      </c>
      <c r="E42" s="5">
        <f>IFERROR(VLOOKUP(C42,'Gas Wpc'!$D$22:$V$204,19,FALSE),"NA")*(1+'Gas Calculations'!$C$18)</f>
        <v>227.86425234168797</v>
      </c>
      <c r="F42" s="25">
        <f>IFERROR(VLOOKUP(C42,'Gas Wpc'!$D$22:$W$204,20,FALSE),"NA")*MAX(0,E42-D42)</f>
        <v>89.622635357663839</v>
      </c>
      <c r="G42" s="43">
        <f t="shared" si="0"/>
        <v>0.85</v>
      </c>
      <c r="H42" s="43">
        <f>VLOOKUP(MONTH(C42),'Gas Calculations'!$A$39:'Gas Calculations'!$F$50,6,FALSE)</f>
        <v>0.49098000000000003</v>
      </c>
      <c r="I42" s="43">
        <f>'Gas Calculations'!$C$24</f>
        <v>0.3412</v>
      </c>
      <c r="J42" s="43">
        <f t="shared" si="1"/>
        <v>12.761727295722839</v>
      </c>
      <c r="K42" s="26"/>
    </row>
    <row r="43" spans="1:11" x14ac:dyDescent="0.35">
      <c r="A43" s="26"/>
      <c r="B43" s="16" t="s">
        <v>24</v>
      </c>
      <c r="C43" s="12">
        <v>44711</v>
      </c>
      <c r="D43" s="20">
        <f>IFERROR(VLOOKUP(C43,'Gas Wc'!$D$23:$W$1048576,20,FALSE),"NA")*(1+'Gas Calculations'!$C$18)</f>
        <v>111.58647553561492</v>
      </c>
      <c r="E43" s="5">
        <f>IFERROR(VLOOKUP(C43,'Gas Wpc'!$D$22:$V$204,19,FALSE),"NA")*(1+'Gas Calculations'!$C$18)</f>
        <v>233.36267456181534</v>
      </c>
      <c r="F43" s="25">
        <f>IFERROR(VLOOKUP(C43,'Gas Wpc'!$D$22:$W$204,20,FALSE),"NA")*MAX(0,E43-D43)</f>
        <v>105.42195742144209</v>
      </c>
      <c r="G43" s="43">
        <f t="shared" si="0"/>
        <v>0.85</v>
      </c>
      <c r="H43" s="43">
        <f>VLOOKUP(MONTH(C43),'Gas Calculations'!$A$39:'Gas Calculations'!$F$50,6,FALSE)</f>
        <v>0.49098000000000003</v>
      </c>
      <c r="I43" s="43">
        <f>'Gas Calculations'!$C$24</f>
        <v>0.3412</v>
      </c>
      <c r="J43" s="43">
        <f t="shared" si="1"/>
        <v>15.01145627133919</v>
      </c>
      <c r="K43" s="26"/>
    </row>
    <row r="44" spans="1:11" x14ac:dyDescent="0.35">
      <c r="A44" s="26"/>
      <c r="B44" s="16" t="s">
        <v>25</v>
      </c>
      <c r="C44" s="12">
        <v>44712</v>
      </c>
      <c r="D44" s="20">
        <f>IFERROR(VLOOKUP(C44,'Gas Wc'!$D$23:$W$1048576,20,FALSE),"NA")*(1+'Gas Calculations'!$C$18)</f>
        <v>111.58647553561492</v>
      </c>
      <c r="E44" s="5">
        <f>IFERROR(VLOOKUP(C44,'Gas Wpc'!$D$22:$V$204,19,FALSE),"NA")*(1+'Gas Calculations'!$C$18)</f>
        <v>233.36267456181534</v>
      </c>
      <c r="F44" s="25">
        <f>IFERROR(VLOOKUP(C44,'Gas Wpc'!$D$22:$W$204,20,FALSE),"NA")*MAX(0,E44-D44)</f>
        <v>105.4219574214421</v>
      </c>
      <c r="G44" s="43">
        <f t="shared" si="0"/>
        <v>0.85</v>
      </c>
      <c r="H44" s="43">
        <f>VLOOKUP(MONTH(C44),'Gas Calculations'!$A$39:'Gas Calculations'!$F$50,6,FALSE)</f>
        <v>0.49098000000000003</v>
      </c>
      <c r="I44" s="43">
        <f>'Gas Calculations'!$C$24</f>
        <v>0.3412</v>
      </c>
      <c r="J44" s="43">
        <f t="shared" si="1"/>
        <v>15.011456271339192</v>
      </c>
      <c r="K44" s="26"/>
    </row>
    <row r="45" spans="1:11" x14ac:dyDescent="0.35">
      <c r="A45" s="26"/>
      <c r="B45" s="16" t="s">
        <v>26</v>
      </c>
      <c r="C45" s="12">
        <v>44713</v>
      </c>
      <c r="D45" s="20">
        <f>IFERROR(VLOOKUP(C45,'Gas Wc'!$D$23:$W$1048576,20,FALSE),"NA")*(1+'Gas Calculations'!$C$18)</f>
        <v>111.58647553561492</v>
      </c>
      <c r="E45" s="5">
        <f>IFERROR(VLOOKUP(C45,'Gas Wpc'!$D$22:$V$204,19,FALSE),"NA")*(1+'Gas Calculations'!$C$18)</f>
        <v>233.36267456181534</v>
      </c>
      <c r="F45" s="25">
        <f>IFERROR(VLOOKUP(C45,'Gas Wpc'!$D$22:$W$204,20,FALSE),"NA")*MAX(0,E45-D45)</f>
        <v>105.4219574214421</v>
      </c>
      <c r="G45" s="43">
        <f t="shared" si="0"/>
        <v>0.85</v>
      </c>
      <c r="H45" s="43">
        <f>VLOOKUP(MONTH(C45),'Gas Calculations'!$A$39:'Gas Calculations'!$F$50,6,FALSE)</f>
        <v>0.59626000000000001</v>
      </c>
      <c r="I45" s="43">
        <f>'Gas Calculations'!$C$24</f>
        <v>0.3412</v>
      </c>
      <c r="J45" s="43">
        <f t="shared" si="1"/>
        <v>18.230337114238271</v>
      </c>
      <c r="K45" s="26"/>
    </row>
    <row r="46" spans="1:11" x14ac:dyDescent="0.35">
      <c r="A46" s="26"/>
      <c r="B46" s="16" t="s">
        <v>24</v>
      </c>
      <c r="C46" s="12">
        <v>44718</v>
      </c>
      <c r="D46" s="20">
        <f>IFERROR(VLOOKUP(C46,'Gas Wc'!$D$23:$W$1048576,20,FALSE),"NA")*(1+'Gas Calculations'!$C$18)</f>
        <v>102.28596811692225</v>
      </c>
      <c r="E46" s="5">
        <f>IFERROR(VLOOKUP(C46,'Gas Wpc'!$D$22:$V$204,19,FALSE),"NA")*(1+'Gas Calculations'!$C$18)</f>
        <v>238.02401953377452</v>
      </c>
      <c r="F46" s="25">
        <f>IFERROR(VLOOKUP(C46,'Gas Wpc'!$D$22:$W$204,20,FALSE),"NA")*MAX(0,E46-D46)</f>
        <v>117.50876765219236</v>
      </c>
      <c r="G46" s="43">
        <f t="shared" si="0"/>
        <v>0.85</v>
      </c>
      <c r="H46" s="43">
        <f>VLOOKUP(MONTH(C46),'Gas Calculations'!$A$39:'Gas Calculations'!$F$50,6,FALSE)</f>
        <v>0.59626000000000001</v>
      </c>
      <c r="I46" s="43">
        <f>'Gas Calculations'!$C$24</f>
        <v>0.3412</v>
      </c>
      <c r="J46" s="43">
        <f t="shared" si="1"/>
        <v>20.320476877641909</v>
      </c>
      <c r="K46" s="26"/>
    </row>
    <row r="47" spans="1:11" x14ac:dyDescent="0.35">
      <c r="A47" s="26"/>
      <c r="B47" s="16" t="s">
        <v>25</v>
      </c>
      <c r="C47" s="12">
        <v>44719</v>
      </c>
      <c r="D47" s="20">
        <f>IFERROR(VLOOKUP(C47,'Gas Wc'!$D$23:$W$1048576,20,FALSE),"NA")*(1+'Gas Calculations'!$C$18)</f>
        <v>102.28596811692225</v>
      </c>
      <c r="E47" s="5">
        <f>IFERROR(VLOOKUP(C47,'Gas Wpc'!$D$22:$V$204,19,FALSE),"NA")*(1+'Gas Calculations'!$C$18)</f>
        <v>238.02401953377452</v>
      </c>
      <c r="F47" s="25">
        <f>IFERROR(VLOOKUP(C47,'Gas Wpc'!$D$22:$W$204,20,FALSE),"NA")*MAX(0,E47-D47)</f>
        <v>117.50876765219236</v>
      </c>
      <c r="G47" s="43">
        <f t="shared" si="0"/>
        <v>0.85</v>
      </c>
      <c r="H47" s="43">
        <f>VLOOKUP(MONTH(C47),'Gas Calculations'!$A$39:'Gas Calculations'!$F$50,6,FALSE)</f>
        <v>0.59626000000000001</v>
      </c>
      <c r="I47" s="43">
        <f>'Gas Calculations'!$C$24</f>
        <v>0.3412</v>
      </c>
      <c r="J47" s="43">
        <f t="shared" si="1"/>
        <v>20.320476877641909</v>
      </c>
      <c r="K47" s="26"/>
    </row>
    <row r="48" spans="1:11" x14ac:dyDescent="0.35">
      <c r="A48" s="26"/>
      <c r="B48" s="16" t="s">
        <v>26</v>
      </c>
      <c r="C48" s="12">
        <v>44720</v>
      </c>
      <c r="D48" s="20">
        <f>IFERROR(VLOOKUP(C48,'Gas Wc'!$D$23:$W$1048576,20,FALSE),"NA")*(1+'Gas Calculations'!$C$18)</f>
        <v>102.28596811692225</v>
      </c>
      <c r="E48" s="5">
        <f>IFERROR(VLOOKUP(C48,'Gas Wpc'!$D$22:$V$204,19,FALSE),"NA")*(1+'Gas Calculations'!$C$18)</f>
        <v>238.02401953377452</v>
      </c>
      <c r="F48" s="25">
        <f>IFERROR(VLOOKUP(C48,'Gas Wpc'!$D$22:$W$204,20,FALSE),"NA")*MAX(0,E48-D48)</f>
        <v>117.50876765219236</v>
      </c>
      <c r="G48" s="43">
        <f t="shared" si="0"/>
        <v>0.85</v>
      </c>
      <c r="H48" s="43">
        <f>VLOOKUP(MONTH(C48),'Gas Calculations'!$A$39:'Gas Calculations'!$F$50,6,FALSE)</f>
        <v>0.59626000000000001</v>
      </c>
      <c r="I48" s="43">
        <f>'Gas Calculations'!$C$24</f>
        <v>0.3412</v>
      </c>
      <c r="J48" s="43">
        <f t="shared" si="1"/>
        <v>20.320476877641909</v>
      </c>
      <c r="K48" s="26"/>
    </row>
    <row r="49" spans="1:11" x14ac:dyDescent="0.35">
      <c r="A49" s="26"/>
      <c r="B49" s="16" t="s">
        <v>27</v>
      </c>
      <c r="C49" s="12">
        <v>44721</v>
      </c>
      <c r="D49" s="20">
        <f>IFERROR(VLOOKUP(C49,'Gas Wc'!$D$23:$W$1048576,20,FALSE),"NA")*(1+'Gas Calculations'!$C$18)</f>
        <v>102.28596811692225</v>
      </c>
      <c r="E49" s="5">
        <f>IFERROR(VLOOKUP(C49,'Gas Wpc'!$D$22:$V$204,19,FALSE),"NA")*(1+'Gas Calculations'!$C$18)</f>
        <v>238.02401953377452</v>
      </c>
      <c r="F49" s="25">
        <f>IFERROR(VLOOKUP(C49,'Gas Wpc'!$D$22:$W$204,20,FALSE),"NA")*MAX(0,E49-D49)</f>
        <v>117.50876765219236</v>
      </c>
      <c r="G49" s="43">
        <f t="shared" si="0"/>
        <v>0.85</v>
      </c>
      <c r="H49" s="43">
        <f>VLOOKUP(MONTH(C49),'Gas Calculations'!$A$39:'Gas Calculations'!$F$50,6,FALSE)</f>
        <v>0.59626000000000001</v>
      </c>
      <c r="I49" s="43">
        <f>'Gas Calculations'!$C$24</f>
        <v>0.3412</v>
      </c>
      <c r="J49" s="43">
        <f t="shared" si="1"/>
        <v>20.320476877641909</v>
      </c>
      <c r="K49" s="26"/>
    </row>
    <row r="50" spans="1:11" x14ac:dyDescent="0.35">
      <c r="A50" s="26"/>
      <c r="B50" s="16" t="s">
        <v>22</v>
      </c>
      <c r="C50" s="12">
        <v>44722</v>
      </c>
      <c r="D50" s="20">
        <f>IFERROR(VLOOKUP(C50,'Gas Wc'!$D$23:$W$1048576,20,FALSE),"NA")*(1+'Gas Calculations'!$C$18)</f>
        <v>102.28596811692225</v>
      </c>
      <c r="E50" s="5">
        <f>IFERROR(VLOOKUP(C50,'Gas Wpc'!$D$22:$V$204,19,FALSE),"NA")*(1+'Gas Calculations'!$C$18)</f>
        <v>238.02401953377452</v>
      </c>
      <c r="F50" s="25">
        <f>IFERROR(VLOOKUP(C50,'Gas Wpc'!$D$22:$W$204,20,FALSE),"NA")*MAX(0,E50-D50)</f>
        <v>117.50876765219236</v>
      </c>
      <c r="G50" s="43">
        <f t="shared" si="0"/>
        <v>0.85</v>
      </c>
      <c r="H50" s="43">
        <f>VLOOKUP(MONTH(C50),'Gas Calculations'!$A$39:'Gas Calculations'!$F$50,6,FALSE)</f>
        <v>0.59626000000000001</v>
      </c>
      <c r="I50" s="43">
        <f>'Gas Calculations'!$C$24</f>
        <v>0.3412</v>
      </c>
      <c r="J50" s="43">
        <f t="shared" si="1"/>
        <v>20.320476877641909</v>
      </c>
      <c r="K50" s="26"/>
    </row>
    <row r="51" spans="1:11" x14ac:dyDescent="0.35">
      <c r="A51" s="26"/>
      <c r="B51" s="16" t="s">
        <v>24</v>
      </c>
      <c r="C51" s="12">
        <v>44725</v>
      </c>
      <c r="D51" s="20">
        <f>IFERROR(VLOOKUP(C51,'Gas Wc'!$D$23:$W$1048576,20,FALSE),"NA")*(1+'Gas Calculations'!$C$18)</f>
        <v>93.851571602279591</v>
      </c>
      <c r="E51" s="5">
        <f>IFERROR(VLOOKUP(C51,'Gas Wpc'!$D$22:$V$204,19,FALSE),"NA")*(1+'Gas Calculations'!$C$18)</f>
        <v>243.77966994168625</v>
      </c>
      <c r="F51" s="25">
        <f>IFERROR(VLOOKUP(C51,'Gas Wpc'!$D$22:$W$204,20,FALSE),"NA")*MAX(0,E51-D51)</f>
        <v>129.79312645498223</v>
      </c>
      <c r="G51" s="43">
        <f t="shared" si="0"/>
        <v>0.85</v>
      </c>
      <c r="H51" s="43">
        <f>VLOOKUP(MONTH(C51),'Gas Calculations'!$A$39:'Gas Calculations'!$F$50,6,FALSE)</f>
        <v>0.59626000000000001</v>
      </c>
      <c r="I51" s="43">
        <f>'Gas Calculations'!$C$24</f>
        <v>0.3412</v>
      </c>
      <c r="J51" s="43">
        <f t="shared" si="1"/>
        <v>22.444778187205436</v>
      </c>
      <c r="K51" s="26"/>
    </row>
    <row r="52" spans="1:11" x14ac:dyDescent="0.35">
      <c r="A52" s="26"/>
      <c r="B52" s="16" t="s">
        <v>25</v>
      </c>
      <c r="C52" s="12">
        <v>44726</v>
      </c>
      <c r="D52" s="20">
        <f>IFERROR(VLOOKUP(C52,'Gas Wc'!$D$23:$W$1048576,20,FALSE),"NA")*(1+'Gas Calculations'!$C$18)</f>
        <v>93.851571602279591</v>
      </c>
      <c r="E52" s="5">
        <f>IFERROR(VLOOKUP(C52,'Gas Wpc'!$D$22:$V$204,19,FALSE),"NA")*(1+'Gas Calculations'!$C$18)</f>
        <v>243.77966994168625</v>
      </c>
      <c r="F52" s="25">
        <f>IFERROR(VLOOKUP(C52,'Gas Wpc'!$D$22:$W$204,20,FALSE),"NA")*MAX(0,E52-D52)</f>
        <v>129.79312645498223</v>
      </c>
      <c r="G52" s="43">
        <f t="shared" si="0"/>
        <v>0.85</v>
      </c>
      <c r="H52" s="43">
        <f>VLOOKUP(MONTH(C52),'Gas Calculations'!$A$39:'Gas Calculations'!$F$50,6,FALSE)</f>
        <v>0.59626000000000001</v>
      </c>
      <c r="I52" s="43">
        <f>'Gas Calculations'!$C$24</f>
        <v>0.3412</v>
      </c>
      <c r="J52" s="43">
        <f t="shared" si="1"/>
        <v>22.444778187205436</v>
      </c>
      <c r="K52" s="26"/>
    </row>
    <row r="53" spans="1:11" x14ac:dyDescent="0.35">
      <c r="A53" s="26"/>
      <c r="B53" s="16" t="s">
        <v>26</v>
      </c>
      <c r="C53" s="12">
        <v>44727</v>
      </c>
      <c r="D53" s="20">
        <f>IFERROR(VLOOKUP(C53,'Gas Wc'!$D$23:$W$1048576,20,FALSE),"NA")*(1+'Gas Calculations'!$C$18)</f>
        <v>93.851571602279591</v>
      </c>
      <c r="E53" s="5">
        <f>IFERROR(VLOOKUP(C53,'Gas Wpc'!$D$22:$V$204,19,FALSE),"NA")*(1+'Gas Calculations'!$C$18)</f>
        <v>243.77966994168625</v>
      </c>
      <c r="F53" s="25">
        <f>IFERROR(VLOOKUP(C53,'Gas Wpc'!$D$22:$W$204,20,FALSE),"NA")*MAX(0,E53-D53)</f>
        <v>129.79312645498223</v>
      </c>
      <c r="G53" s="43">
        <f t="shared" si="0"/>
        <v>0.85</v>
      </c>
      <c r="H53" s="43">
        <f>VLOOKUP(MONTH(C53),'Gas Calculations'!$A$39:'Gas Calculations'!$F$50,6,FALSE)</f>
        <v>0.59626000000000001</v>
      </c>
      <c r="I53" s="43">
        <f>'Gas Calculations'!$C$24</f>
        <v>0.3412</v>
      </c>
      <c r="J53" s="43">
        <f t="shared" si="1"/>
        <v>22.444778187205436</v>
      </c>
      <c r="K53" s="26"/>
    </row>
    <row r="54" spans="1:11" x14ac:dyDescent="0.35">
      <c r="A54" s="26"/>
      <c r="B54" s="16" t="s">
        <v>27</v>
      </c>
      <c r="C54" s="12">
        <v>44728</v>
      </c>
      <c r="D54" s="20">
        <f>IFERROR(VLOOKUP(C54,'Gas Wc'!$D$23:$W$1048576,20,FALSE),"NA")*(1+'Gas Calculations'!$C$18)</f>
        <v>93.851571602279591</v>
      </c>
      <c r="E54" s="5">
        <f>IFERROR(VLOOKUP(C54,'Gas Wpc'!$D$22:$V$204,19,FALSE),"NA")*(1+'Gas Calculations'!$C$18)</f>
        <v>243.77966994168625</v>
      </c>
      <c r="F54" s="25">
        <f>IFERROR(VLOOKUP(C54,'Gas Wpc'!$D$22:$W$204,20,FALSE),"NA")*MAX(0,E54-D54)</f>
        <v>129.79312645498223</v>
      </c>
      <c r="G54" s="43">
        <f t="shared" si="0"/>
        <v>0.85</v>
      </c>
      <c r="H54" s="43">
        <f>VLOOKUP(MONTH(C54),'Gas Calculations'!$A$39:'Gas Calculations'!$F$50,6,FALSE)</f>
        <v>0.59626000000000001</v>
      </c>
      <c r="I54" s="43">
        <f>'Gas Calculations'!$C$24</f>
        <v>0.3412</v>
      </c>
      <c r="J54" s="43">
        <f t="shared" si="1"/>
        <v>22.444778187205436</v>
      </c>
      <c r="K54" s="26"/>
    </row>
    <row r="55" spans="1:11" x14ac:dyDescent="0.35">
      <c r="A55" s="26"/>
      <c r="B55" s="16" t="s">
        <v>22</v>
      </c>
      <c r="C55" s="12">
        <v>44729</v>
      </c>
      <c r="D55" s="20">
        <f>IFERROR(VLOOKUP(C55,'Gas Wc'!$D$23:$W$1048576,20,FALSE),"NA")*(1+'Gas Calculations'!$C$18)</f>
        <v>93.851571602279591</v>
      </c>
      <c r="E55" s="5">
        <f>IFERROR(VLOOKUP(C55,'Gas Wpc'!$D$22:$V$204,19,FALSE),"NA")*(1+'Gas Calculations'!$C$18)</f>
        <v>243.77966994168625</v>
      </c>
      <c r="F55" s="25">
        <f>IFERROR(VLOOKUP(C55,'Gas Wpc'!$D$22:$W$204,20,FALSE),"NA")*MAX(0,E55-D55)</f>
        <v>129.79312645498223</v>
      </c>
      <c r="G55" s="43">
        <f t="shared" si="0"/>
        <v>0.85</v>
      </c>
      <c r="H55" s="43">
        <f>VLOOKUP(MONTH(C55),'Gas Calculations'!$A$39:'Gas Calculations'!$F$50,6,FALSE)</f>
        <v>0.59626000000000001</v>
      </c>
      <c r="I55" s="43">
        <f>'Gas Calculations'!$C$24</f>
        <v>0.3412</v>
      </c>
      <c r="J55" s="43">
        <f t="shared" si="1"/>
        <v>22.444778187205436</v>
      </c>
      <c r="K55" s="26"/>
    </row>
    <row r="56" spans="1:11" x14ac:dyDescent="0.35">
      <c r="A56" s="26"/>
      <c r="B56" s="16" t="s">
        <v>24</v>
      </c>
      <c r="C56" s="12">
        <v>44732</v>
      </c>
      <c r="D56" s="20">
        <f>IFERROR(VLOOKUP(C56,'Gas Wc'!$D$23:$W$1048576,20,FALSE),"NA")*(1+'Gas Calculations'!$C$18)</f>
        <v>84.280089572975157</v>
      </c>
      <c r="E56" s="5">
        <f>IFERROR(VLOOKUP(C56,'Gas Wpc'!$D$22:$V$204,19,FALSE),"NA")*(1+'Gas Calculations'!$C$18)</f>
        <v>248.44522948494026</v>
      </c>
      <c r="F56" s="25">
        <f>IFERROR(VLOOKUP(C56,'Gas Wpc'!$D$22:$W$204,20,FALSE),"NA")*MAX(0,E56-D56)</f>
        <v>142.11816864279623</v>
      </c>
      <c r="G56" s="43">
        <f t="shared" si="0"/>
        <v>0.85</v>
      </c>
      <c r="H56" s="43">
        <f>VLOOKUP(MONTH(C56),'Gas Calculations'!$A$39:'Gas Calculations'!$F$50,6,FALSE)</f>
        <v>0.59626000000000001</v>
      </c>
      <c r="I56" s="43">
        <f>'Gas Calculations'!$C$24</f>
        <v>0.3412</v>
      </c>
      <c r="J56" s="43">
        <f t="shared" si="1"/>
        <v>24.576114765721265</v>
      </c>
      <c r="K56" s="26"/>
    </row>
    <row r="57" spans="1:11" x14ac:dyDescent="0.35">
      <c r="A57" s="26"/>
      <c r="B57" s="16" t="s">
        <v>25</v>
      </c>
      <c r="C57" s="12">
        <v>44733</v>
      </c>
      <c r="D57" s="20">
        <f>IFERROR(VLOOKUP(C57,'Gas Wc'!$D$23:$W$1048576,20,FALSE),"NA")*(1+'Gas Calculations'!$C$18)</f>
        <v>84.280089572975157</v>
      </c>
      <c r="E57" s="5">
        <f>IFERROR(VLOOKUP(C57,'Gas Wpc'!$D$22:$V$204,19,FALSE),"NA")*(1+'Gas Calculations'!$C$18)</f>
        <v>248.44522948494026</v>
      </c>
      <c r="F57" s="25">
        <f>IFERROR(VLOOKUP(C57,'Gas Wpc'!$D$22:$W$204,20,FALSE),"NA")*MAX(0,E57-D57)</f>
        <v>142.11816864279623</v>
      </c>
      <c r="G57" s="43">
        <f t="shared" si="0"/>
        <v>0.85</v>
      </c>
      <c r="H57" s="43">
        <f>VLOOKUP(MONTH(C57),'Gas Calculations'!$A$39:'Gas Calculations'!$F$50,6,FALSE)</f>
        <v>0.59626000000000001</v>
      </c>
      <c r="I57" s="43">
        <f>'Gas Calculations'!$C$24</f>
        <v>0.3412</v>
      </c>
      <c r="J57" s="43">
        <f t="shared" si="1"/>
        <v>24.576114765721265</v>
      </c>
      <c r="K57" s="26"/>
    </row>
    <row r="58" spans="1:11" x14ac:dyDescent="0.35">
      <c r="A58" s="26"/>
      <c r="B58" s="16" t="s">
        <v>26</v>
      </c>
      <c r="C58" s="12">
        <v>44734</v>
      </c>
      <c r="D58" s="20">
        <f>IFERROR(VLOOKUP(C58,'Gas Wc'!$D$23:$W$1048576,20,FALSE),"NA")*(1+'Gas Calculations'!$C$18)</f>
        <v>84.280089572975157</v>
      </c>
      <c r="E58" s="5">
        <f>IFERROR(VLOOKUP(C58,'Gas Wpc'!$D$22:$V$204,19,FALSE),"NA")*(1+'Gas Calculations'!$C$18)</f>
        <v>248.44522948494026</v>
      </c>
      <c r="F58" s="25">
        <f>IFERROR(VLOOKUP(C58,'Gas Wpc'!$D$22:$W$204,20,FALSE),"NA")*MAX(0,E58-D58)</f>
        <v>142.11816864279623</v>
      </c>
      <c r="G58" s="43">
        <f t="shared" si="0"/>
        <v>0.85</v>
      </c>
      <c r="H58" s="43">
        <f>VLOOKUP(MONTH(C58),'Gas Calculations'!$A$39:'Gas Calculations'!$F$50,6,FALSE)</f>
        <v>0.59626000000000001</v>
      </c>
      <c r="I58" s="43">
        <f>'Gas Calculations'!$C$24</f>
        <v>0.3412</v>
      </c>
      <c r="J58" s="43">
        <f t="shared" si="1"/>
        <v>24.576114765721265</v>
      </c>
      <c r="K58" s="26"/>
    </row>
    <row r="59" spans="1:11" x14ac:dyDescent="0.35">
      <c r="A59" s="26"/>
      <c r="B59" s="16" t="s">
        <v>27</v>
      </c>
      <c r="C59" s="12">
        <v>44735</v>
      </c>
      <c r="D59" s="20">
        <f>IFERROR(VLOOKUP(C59,'Gas Wc'!$D$23:$W$1048576,20,FALSE),"NA")*(1+'Gas Calculations'!$C$18)</f>
        <v>84.280089572975157</v>
      </c>
      <c r="E59" s="5">
        <f>IFERROR(VLOOKUP(C59,'Gas Wpc'!$D$22:$V$204,19,FALSE),"NA")*(1+'Gas Calculations'!$C$18)</f>
        <v>248.44522948494026</v>
      </c>
      <c r="F59" s="25">
        <f>IFERROR(VLOOKUP(C59,'Gas Wpc'!$D$22:$W$204,20,FALSE),"NA")*MAX(0,E59-D59)</f>
        <v>142.11816864279623</v>
      </c>
      <c r="G59" s="43">
        <f t="shared" si="0"/>
        <v>0.85</v>
      </c>
      <c r="H59" s="43">
        <f>VLOOKUP(MONTH(C59),'Gas Calculations'!$A$39:'Gas Calculations'!$F$50,6,FALSE)</f>
        <v>0.59626000000000001</v>
      </c>
      <c r="I59" s="43">
        <f>'Gas Calculations'!$C$24</f>
        <v>0.3412</v>
      </c>
      <c r="J59" s="43">
        <f t="shared" si="1"/>
        <v>24.576114765721265</v>
      </c>
      <c r="K59" s="26"/>
    </row>
    <row r="60" spans="1:11" x14ac:dyDescent="0.35">
      <c r="A60" s="26"/>
      <c r="B60" s="16" t="s">
        <v>22</v>
      </c>
      <c r="C60" s="12">
        <v>44736</v>
      </c>
      <c r="D60" s="20">
        <f>IFERROR(VLOOKUP(C60,'Gas Wc'!$D$23:$W$1048576,20,FALSE),"NA")*(1+'Gas Calculations'!$C$18)</f>
        <v>84.280089572975157</v>
      </c>
      <c r="E60" s="5">
        <f>IFERROR(VLOOKUP(C60,'Gas Wpc'!$D$22:$V$204,19,FALSE),"NA")*(1+'Gas Calculations'!$C$18)</f>
        <v>248.44522948494026</v>
      </c>
      <c r="F60" s="25">
        <f>IFERROR(VLOOKUP(C60,'Gas Wpc'!$D$22:$W$204,20,FALSE),"NA")*MAX(0,E60-D60)</f>
        <v>142.11816864279623</v>
      </c>
      <c r="G60" s="43">
        <f t="shared" si="0"/>
        <v>0.85</v>
      </c>
      <c r="H60" s="43">
        <f>VLOOKUP(MONTH(C60),'Gas Calculations'!$A$39:'Gas Calculations'!$F$50,6,FALSE)</f>
        <v>0.59626000000000001</v>
      </c>
      <c r="I60" s="43">
        <f>'Gas Calculations'!$C$24</f>
        <v>0.3412</v>
      </c>
      <c r="J60" s="43">
        <f t="shared" si="1"/>
        <v>24.576114765721265</v>
      </c>
      <c r="K60" s="26"/>
    </row>
    <row r="61" spans="1:11" x14ac:dyDescent="0.35">
      <c r="A61" s="26"/>
      <c r="B61" s="16" t="s">
        <v>24</v>
      </c>
      <c r="C61" s="12">
        <v>44739</v>
      </c>
      <c r="D61" s="20">
        <f>IFERROR(VLOOKUP(C61,'Gas Wc'!$D$23:$W$1048576,20,FALSE),"NA")*(1+'Gas Calculations'!$C$18)</f>
        <v>75.716188934754328</v>
      </c>
      <c r="E61" s="5">
        <f>IFERROR(VLOOKUP(C61,'Gas Wpc'!$D$22:$V$204,19,FALSE),"NA")*(1+'Gas Calculations'!$C$18)</f>
        <v>252.79745100119908</v>
      </c>
      <c r="F61" s="25">
        <f>IFERROR(VLOOKUP(C61,'Gas Wpc'!$D$22:$W$204,20,FALSE),"NA")*MAX(0,E61-D61)</f>
        <v>153.29968761537265</v>
      </c>
      <c r="G61" s="43">
        <f t="shared" si="0"/>
        <v>0.85</v>
      </c>
      <c r="H61" s="43">
        <f>VLOOKUP(MONTH(C61),'Gas Calculations'!$A$39:'Gas Calculations'!$F$50,6,FALSE)</f>
        <v>0.59626000000000001</v>
      </c>
      <c r="I61" s="43">
        <f>'Gas Calculations'!$C$24</f>
        <v>0.3412</v>
      </c>
      <c r="J61" s="43">
        <f t="shared" si="1"/>
        <v>26.509704933321963</v>
      </c>
      <c r="K61" s="26"/>
    </row>
    <row r="62" spans="1:11" x14ac:dyDescent="0.35">
      <c r="A62" s="26"/>
      <c r="B62" s="16" t="s">
        <v>25</v>
      </c>
      <c r="C62" s="12">
        <v>44740</v>
      </c>
      <c r="D62" s="20">
        <f>IFERROR(VLOOKUP(C62,'Gas Wc'!$D$23:$W$1048576,20,FALSE),"NA")*(1+'Gas Calculations'!$C$18)</f>
        <v>75.716188934754328</v>
      </c>
      <c r="E62" s="5">
        <f>IFERROR(VLOOKUP(C62,'Gas Wpc'!$D$22:$V$204,19,FALSE),"NA")*(1+'Gas Calculations'!$C$18)</f>
        <v>252.79745100119908</v>
      </c>
      <c r="F62" s="25">
        <f>IFERROR(VLOOKUP(C62,'Gas Wpc'!$D$22:$W$204,20,FALSE),"NA")*MAX(0,E62-D62)</f>
        <v>153.29968761537265</v>
      </c>
      <c r="G62" s="43">
        <f t="shared" si="0"/>
        <v>0.85</v>
      </c>
      <c r="H62" s="43">
        <f>VLOOKUP(MONTH(C62),'Gas Calculations'!$A$39:'Gas Calculations'!$F$50,6,FALSE)</f>
        <v>0.59626000000000001</v>
      </c>
      <c r="I62" s="43">
        <f>'Gas Calculations'!$C$24</f>
        <v>0.3412</v>
      </c>
      <c r="J62" s="43">
        <f t="shared" si="1"/>
        <v>26.509704933321963</v>
      </c>
      <c r="K62" s="26"/>
    </row>
    <row r="63" spans="1:11" x14ac:dyDescent="0.35">
      <c r="A63" s="26"/>
      <c r="B63" s="16" t="s">
        <v>26</v>
      </c>
      <c r="C63" s="12">
        <v>44741</v>
      </c>
      <c r="D63" s="20">
        <f>IFERROR(VLOOKUP(C63,'Gas Wc'!$D$23:$W$1048576,20,FALSE),"NA")*(1+'Gas Calculations'!$C$18)</f>
        <v>75.716188934754328</v>
      </c>
      <c r="E63" s="5">
        <f>IFERROR(VLOOKUP(C63,'Gas Wpc'!$D$22:$V$204,19,FALSE),"NA")*(1+'Gas Calculations'!$C$18)</f>
        <v>252.79745100119908</v>
      </c>
      <c r="F63" s="25">
        <f>IFERROR(VLOOKUP(C63,'Gas Wpc'!$D$22:$W$204,20,FALSE),"NA")*MAX(0,E63-D63)</f>
        <v>153.29968761537265</v>
      </c>
      <c r="G63" s="43">
        <f t="shared" si="0"/>
        <v>0.85</v>
      </c>
      <c r="H63" s="43">
        <f>VLOOKUP(MONTH(C63),'Gas Calculations'!$A$39:'Gas Calculations'!$F$50,6,FALSE)</f>
        <v>0.59626000000000001</v>
      </c>
      <c r="I63" s="43">
        <f>'Gas Calculations'!$C$24</f>
        <v>0.3412</v>
      </c>
      <c r="J63" s="43">
        <f t="shared" si="1"/>
        <v>26.509704933321963</v>
      </c>
      <c r="K63" s="26"/>
    </row>
    <row r="64" spans="1:11" x14ac:dyDescent="0.35">
      <c r="A64" s="26"/>
      <c r="B64" s="16" t="s">
        <v>27</v>
      </c>
      <c r="C64" s="12">
        <v>44742</v>
      </c>
      <c r="D64" s="20">
        <f>IFERROR(VLOOKUP(C64,'Gas Wc'!$D$23:$W$1048576,20,FALSE),"NA")*(1+'Gas Calculations'!$C$18)</f>
        <v>75.716188934754328</v>
      </c>
      <c r="E64" s="5">
        <f>IFERROR(VLOOKUP(C64,'Gas Wpc'!$D$22:$V$204,19,FALSE),"NA")*(1+'Gas Calculations'!$C$18)</f>
        <v>252.79745100119908</v>
      </c>
      <c r="F64" s="25">
        <f>IFERROR(VLOOKUP(C64,'Gas Wpc'!$D$22:$W$204,20,FALSE),"NA")*MAX(0,E64-D64)</f>
        <v>153.29968761537265</v>
      </c>
      <c r="G64" s="43">
        <f t="shared" si="0"/>
        <v>0.85</v>
      </c>
      <c r="H64" s="43">
        <f>VLOOKUP(MONTH(C64),'Gas Calculations'!$A$39:'Gas Calculations'!$F$50,6,FALSE)</f>
        <v>0.59626000000000001</v>
      </c>
      <c r="I64" s="43">
        <f>'Gas Calculations'!$C$24</f>
        <v>0.3412</v>
      </c>
      <c r="J64" s="43">
        <f t="shared" si="1"/>
        <v>26.509704933321963</v>
      </c>
      <c r="K64" s="26"/>
    </row>
    <row r="65" spans="1:11" x14ac:dyDescent="0.35">
      <c r="A65" s="26"/>
      <c r="B65" s="16" t="s">
        <v>22</v>
      </c>
      <c r="C65" s="12">
        <v>44743</v>
      </c>
      <c r="D65" s="20">
        <f>IFERROR(VLOOKUP(C65,'Gas Wc'!$D$23:$W$1048576,20,FALSE),"NA")*(1+'Gas Calculations'!$C$18)</f>
        <v>75.716188934754328</v>
      </c>
      <c r="E65" s="5">
        <f>IFERROR(VLOOKUP(C65,'Gas Wpc'!$D$22:$V$204,19,FALSE),"NA")*(1+'Gas Calculations'!$C$18)</f>
        <v>252.79745100119908</v>
      </c>
      <c r="F65" s="25">
        <f>IFERROR(VLOOKUP(C65,'Gas Wpc'!$D$22:$W$204,20,FALSE),"NA")*MAX(0,E65-D65)</f>
        <v>153.29968761537265</v>
      </c>
      <c r="G65" s="43">
        <f t="shared" si="0"/>
        <v>0.85</v>
      </c>
      <c r="H65" s="43">
        <f>VLOOKUP(MONTH(C65),'Gas Calculations'!$A$39:'Gas Calculations'!$F$50,6,FALSE)</f>
        <v>0.70534000000000008</v>
      </c>
      <c r="I65" s="43">
        <f>'Gas Calculations'!$C$24</f>
        <v>0.3412</v>
      </c>
      <c r="J65" s="43">
        <f t="shared" si="1"/>
        <v>31.359399050195073</v>
      </c>
      <c r="K65" s="26"/>
    </row>
    <row r="66" spans="1:11" x14ac:dyDescent="0.35">
      <c r="A66" s="26"/>
      <c r="B66" s="16" t="s">
        <v>24</v>
      </c>
      <c r="C66" s="12">
        <v>44746</v>
      </c>
      <c r="D66" s="20">
        <f>IFERROR(VLOOKUP(C66,'Gas Wc'!$D$23:$W$1048576,20,FALSE),"NA")*(1+'Gas Calculations'!$C$18)</f>
        <v>68.048126006829719</v>
      </c>
      <c r="E66" s="5">
        <f>IFERROR(VLOOKUP(C66,'Gas Wpc'!$D$22:$V$204,19,FALSE),"NA")*(1+'Gas Calculations'!$C$18)</f>
        <v>256.866875851099</v>
      </c>
      <c r="F66" s="25">
        <f>IFERROR(VLOOKUP(C66,'Gas Wpc'!$D$22:$W$204,20,FALSE),"NA")*MAX(0,E66-D66)</f>
        <v>163.46085988584471</v>
      </c>
      <c r="G66" s="43">
        <f t="shared" si="0"/>
        <v>0.85</v>
      </c>
      <c r="H66" s="43">
        <f>VLOOKUP(MONTH(C66),'Gas Calculations'!$A$39:'Gas Calculations'!$F$50,6,FALSE)</f>
        <v>0.70534000000000008</v>
      </c>
      <c r="I66" s="43">
        <f>'Gas Calculations'!$C$24</f>
        <v>0.3412</v>
      </c>
      <c r="J66" s="43">
        <f t="shared" si="1"/>
        <v>33.43799595410394</v>
      </c>
      <c r="K66" s="26"/>
    </row>
    <row r="67" spans="1:11" x14ac:dyDescent="0.35">
      <c r="A67" s="26"/>
      <c r="B67" s="16" t="s">
        <v>25</v>
      </c>
      <c r="C67" s="12">
        <v>44747</v>
      </c>
      <c r="D67" s="20">
        <f>IFERROR(VLOOKUP(C67,'Gas Wc'!$D$23:$W$1048576,20,FALSE),"NA")*(1+'Gas Calculations'!$C$18)</f>
        <v>68.048126006829719</v>
      </c>
      <c r="E67" s="5">
        <f>IFERROR(VLOOKUP(C67,'Gas Wpc'!$D$22:$V$204,19,FALSE),"NA")*(1+'Gas Calculations'!$C$18)</f>
        <v>256.866875851099</v>
      </c>
      <c r="F67" s="25">
        <f>IFERROR(VLOOKUP(C67,'Gas Wpc'!$D$22:$W$204,20,FALSE),"NA")*MAX(0,E67-D67)</f>
        <v>163.46085988584471</v>
      </c>
      <c r="G67" s="43">
        <f t="shared" si="0"/>
        <v>0.85</v>
      </c>
      <c r="H67" s="43">
        <f>VLOOKUP(MONTH(C67),'Gas Calculations'!$A$39:'Gas Calculations'!$F$50,6,FALSE)</f>
        <v>0.70534000000000008</v>
      </c>
      <c r="I67" s="43">
        <f>'Gas Calculations'!$C$24</f>
        <v>0.3412</v>
      </c>
      <c r="J67" s="43">
        <f t="shared" si="1"/>
        <v>33.43799595410394</v>
      </c>
      <c r="K67" s="26"/>
    </row>
    <row r="68" spans="1:11" x14ac:dyDescent="0.35">
      <c r="A68" s="26"/>
      <c r="B68" s="16" t="s">
        <v>26</v>
      </c>
      <c r="C68" s="12">
        <v>44748</v>
      </c>
      <c r="D68" s="20">
        <f>IFERROR(VLOOKUP(C68,'Gas Wc'!$D$23:$W$1048576,20,FALSE),"NA")*(1+'Gas Calculations'!$C$18)</f>
        <v>68.048126006829719</v>
      </c>
      <c r="E68" s="5">
        <f>IFERROR(VLOOKUP(C68,'Gas Wpc'!$D$22:$V$204,19,FALSE),"NA")*(1+'Gas Calculations'!$C$18)</f>
        <v>256.866875851099</v>
      </c>
      <c r="F68" s="25">
        <f>IFERROR(VLOOKUP(C68,'Gas Wpc'!$D$22:$W$204,20,FALSE),"NA")*MAX(0,E68-D68)</f>
        <v>163.46085988584471</v>
      </c>
      <c r="G68" s="43">
        <f t="shared" si="0"/>
        <v>0.85</v>
      </c>
      <c r="H68" s="43">
        <f>VLOOKUP(MONTH(C68),'Gas Calculations'!$A$39:'Gas Calculations'!$F$50,6,FALSE)</f>
        <v>0.70534000000000008</v>
      </c>
      <c r="I68" s="43">
        <f>'Gas Calculations'!$C$24</f>
        <v>0.3412</v>
      </c>
      <c r="J68" s="43">
        <f t="shared" si="1"/>
        <v>33.43799595410394</v>
      </c>
      <c r="K68" s="26"/>
    </row>
    <row r="69" spans="1:11" x14ac:dyDescent="0.35">
      <c r="A69" s="26"/>
      <c r="B69" s="16" t="s">
        <v>27</v>
      </c>
      <c r="C69" s="12">
        <v>44749</v>
      </c>
      <c r="D69" s="20">
        <f>IFERROR(VLOOKUP(C69,'Gas Wc'!$D$23:$W$1048576,20,FALSE),"NA")*(1+'Gas Calculations'!$C$18)</f>
        <v>68.048126006829719</v>
      </c>
      <c r="E69" s="5">
        <f>IFERROR(VLOOKUP(C69,'Gas Wpc'!$D$22:$V$204,19,FALSE),"NA")*(1+'Gas Calculations'!$C$18)</f>
        <v>256.866875851099</v>
      </c>
      <c r="F69" s="25">
        <f>IFERROR(VLOOKUP(C69,'Gas Wpc'!$D$22:$W$204,20,FALSE),"NA")*MAX(0,E69-D69)</f>
        <v>163.46085988584471</v>
      </c>
      <c r="G69" s="43">
        <f t="shared" ref="G69:G129" si="2">X</f>
        <v>0.85</v>
      </c>
      <c r="H69" s="43">
        <f>VLOOKUP(MONTH(C69),'Gas Calculations'!$A$39:'Gas Calculations'!$F$50,6,FALSE)</f>
        <v>0.70534000000000008</v>
      </c>
      <c r="I69" s="43">
        <f>'Gas Calculations'!$C$24</f>
        <v>0.3412</v>
      </c>
      <c r="J69" s="43">
        <f t="shared" si="1"/>
        <v>33.43799595410394</v>
      </c>
      <c r="K69" s="26"/>
    </row>
    <row r="70" spans="1:11" x14ac:dyDescent="0.35">
      <c r="A70" s="26"/>
      <c r="B70" s="16" t="s">
        <v>22</v>
      </c>
      <c r="C70" s="12">
        <v>44750</v>
      </c>
      <c r="D70" s="20">
        <f>IFERROR(VLOOKUP(C70,'Gas Wc'!$D$23:$W$1048576,20,FALSE),"NA")*(1+'Gas Calculations'!$C$18)</f>
        <v>68.048126006829719</v>
      </c>
      <c r="E70" s="5">
        <f>IFERROR(VLOOKUP(C70,'Gas Wpc'!$D$22:$V$204,19,FALSE),"NA")*(1+'Gas Calculations'!$C$18)</f>
        <v>256.866875851099</v>
      </c>
      <c r="F70" s="25">
        <f>IFERROR(VLOOKUP(C70,'Gas Wpc'!$D$22:$W$204,20,FALSE),"NA")*MAX(0,E70-D70)</f>
        <v>163.46085988584471</v>
      </c>
      <c r="G70" s="43">
        <f t="shared" si="2"/>
        <v>0.85</v>
      </c>
      <c r="H70" s="43">
        <f>VLOOKUP(MONTH(C70),'Gas Calculations'!$A$39:'Gas Calculations'!$F$50,6,FALSE)</f>
        <v>0.70534000000000008</v>
      </c>
      <c r="I70" s="43">
        <f>'Gas Calculations'!$C$24</f>
        <v>0.3412</v>
      </c>
      <c r="J70" s="43">
        <f t="shared" ref="J70:J129" si="3">G70*F70*H70*I70</f>
        <v>33.43799595410394</v>
      </c>
      <c r="K70" s="26"/>
    </row>
    <row r="71" spans="1:11" x14ac:dyDescent="0.35">
      <c r="A71" s="26"/>
      <c r="B71" s="16" t="s">
        <v>24</v>
      </c>
      <c r="C71" s="12">
        <v>44753</v>
      </c>
      <c r="D71" s="20">
        <f>IFERROR(VLOOKUP(C71,'Gas Wc'!$D$23:$W$1048576,20,FALSE),"NA")*(1+'Gas Calculations'!$C$18)</f>
        <v>61.177623155821486</v>
      </c>
      <c r="E71" s="5">
        <f>IFERROR(VLOOKUP(C71,'Gas Wpc'!$D$22:$V$204,19,FALSE),"NA")*(1+'Gas Calculations'!$C$18)</f>
        <v>260.6802009476632</v>
      </c>
      <c r="F71" s="25">
        <f>IFERROR(VLOOKUP(C71,'Gas Wpc'!$D$22:$W$204,20,FALSE),"NA")*MAX(0,E71-D71)</f>
        <v>172.70987622888774</v>
      </c>
      <c r="G71" s="43">
        <f t="shared" si="2"/>
        <v>0.85</v>
      </c>
      <c r="H71" s="43">
        <f>VLOOKUP(MONTH(C71),'Gas Calculations'!$A$39:'Gas Calculations'!$F$50,6,FALSE)</f>
        <v>0.70534000000000008</v>
      </c>
      <c r="I71" s="43">
        <f>'Gas Calculations'!$C$24</f>
        <v>0.3412</v>
      </c>
      <c r="J71" s="43">
        <f t="shared" si="3"/>
        <v>35.32999977247426</v>
      </c>
      <c r="K71" s="26"/>
    </row>
    <row r="72" spans="1:11" x14ac:dyDescent="0.35">
      <c r="A72" s="26"/>
      <c r="B72" s="16" t="s">
        <v>25</v>
      </c>
      <c r="C72" s="12">
        <v>44754</v>
      </c>
      <c r="D72" s="20">
        <f>IFERROR(VLOOKUP(C72,'Gas Wc'!$D$23:$W$1048576,20,FALSE),"NA")*(1+'Gas Calculations'!$C$18)</f>
        <v>61.177623155821486</v>
      </c>
      <c r="E72" s="5">
        <f>IFERROR(VLOOKUP(C72,'Gas Wpc'!$D$22:$V$204,19,FALSE),"NA")*(1+'Gas Calculations'!$C$18)</f>
        <v>260.6802009476632</v>
      </c>
      <c r="F72" s="25">
        <f>IFERROR(VLOOKUP(C72,'Gas Wpc'!$D$22:$W$204,20,FALSE),"NA")*MAX(0,E72-D72)</f>
        <v>172.70987622888777</v>
      </c>
      <c r="G72" s="43">
        <f t="shared" si="2"/>
        <v>0.85</v>
      </c>
      <c r="H72" s="43">
        <f>VLOOKUP(MONTH(C72),'Gas Calculations'!$A$39:'Gas Calculations'!$F$50,6,FALSE)</f>
        <v>0.70534000000000008</v>
      </c>
      <c r="I72" s="43">
        <f>'Gas Calculations'!$C$24</f>
        <v>0.3412</v>
      </c>
      <c r="J72" s="43">
        <f t="shared" si="3"/>
        <v>35.32999977247426</v>
      </c>
      <c r="K72" s="26"/>
    </row>
    <row r="73" spans="1:11" x14ac:dyDescent="0.35">
      <c r="A73" s="26"/>
      <c r="B73" s="16" t="s">
        <v>26</v>
      </c>
      <c r="C73" s="12">
        <v>44755</v>
      </c>
      <c r="D73" s="20">
        <f>IFERROR(VLOOKUP(C73,'Gas Wc'!$D$23:$W$1048576,20,FALSE),"NA")*(1+'Gas Calculations'!$C$18)</f>
        <v>61.177623155821486</v>
      </c>
      <c r="E73" s="5">
        <f>IFERROR(VLOOKUP(C73,'Gas Wpc'!$D$22:$V$204,19,FALSE),"NA")*(1+'Gas Calculations'!$C$18)</f>
        <v>260.6802009476632</v>
      </c>
      <c r="F73" s="25">
        <f>IFERROR(VLOOKUP(C73,'Gas Wpc'!$D$22:$W$204,20,FALSE),"NA")*MAX(0,E73-D73)</f>
        <v>172.70987622888777</v>
      </c>
      <c r="G73" s="43">
        <f t="shared" si="2"/>
        <v>0.85</v>
      </c>
      <c r="H73" s="43">
        <f>VLOOKUP(MONTH(C73),'Gas Calculations'!$A$39:'Gas Calculations'!$F$50,6,FALSE)</f>
        <v>0.70534000000000008</v>
      </c>
      <c r="I73" s="43">
        <f>'Gas Calculations'!$C$24</f>
        <v>0.3412</v>
      </c>
      <c r="J73" s="43">
        <f t="shared" si="3"/>
        <v>35.32999977247426</v>
      </c>
      <c r="K73" s="26"/>
    </row>
    <row r="74" spans="1:11" x14ac:dyDescent="0.35">
      <c r="A74" s="26"/>
      <c r="B74" s="16" t="s">
        <v>27</v>
      </c>
      <c r="C74" s="12">
        <v>44756</v>
      </c>
      <c r="D74" s="20">
        <f>IFERROR(VLOOKUP(C74,'Gas Wc'!$D$23:$W$1048576,20,FALSE),"NA")*(1+'Gas Calculations'!$C$18)</f>
        <v>61.177623155821486</v>
      </c>
      <c r="E74" s="5">
        <f>IFERROR(VLOOKUP(C74,'Gas Wpc'!$D$22:$V$204,19,FALSE),"NA")*(1+'Gas Calculations'!$C$18)</f>
        <v>260.6802009476632</v>
      </c>
      <c r="F74" s="25">
        <f>IFERROR(VLOOKUP(C74,'Gas Wpc'!$D$22:$W$204,20,FALSE),"NA")*MAX(0,E74-D74)</f>
        <v>172.70987622888777</v>
      </c>
      <c r="G74" s="43">
        <f t="shared" si="2"/>
        <v>0.85</v>
      </c>
      <c r="H74" s="43">
        <f>VLOOKUP(MONTH(C74),'Gas Calculations'!$A$39:'Gas Calculations'!$F$50,6,FALSE)</f>
        <v>0.70534000000000008</v>
      </c>
      <c r="I74" s="43">
        <f>'Gas Calculations'!$C$24</f>
        <v>0.3412</v>
      </c>
      <c r="J74" s="43">
        <f t="shared" si="3"/>
        <v>35.32999977247426</v>
      </c>
      <c r="K74" s="26"/>
    </row>
    <row r="75" spans="1:11" x14ac:dyDescent="0.35">
      <c r="A75" s="26"/>
      <c r="B75" s="16" t="s">
        <v>22</v>
      </c>
      <c r="C75" s="12">
        <v>44757</v>
      </c>
      <c r="D75" s="20">
        <f>IFERROR(VLOOKUP(C75,'Gas Wc'!$D$23:$W$1048576,20,FALSE),"NA")*(1+'Gas Calculations'!$C$18)</f>
        <v>61.177623155821486</v>
      </c>
      <c r="E75" s="5">
        <f>IFERROR(VLOOKUP(C75,'Gas Wpc'!$D$22:$V$204,19,FALSE),"NA")*(1+'Gas Calculations'!$C$18)</f>
        <v>260.6802009476632</v>
      </c>
      <c r="F75" s="25">
        <f>IFERROR(VLOOKUP(C75,'Gas Wpc'!$D$22:$W$204,20,FALSE),"NA")*MAX(0,E75-D75)</f>
        <v>172.70987622888777</v>
      </c>
      <c r="G75" s="43">
        <f t="shared" si="2"/>
        <v>0.85</v>
      </c>
      <c r="H75" s="43">
        <f>VLOOKUP(MONTH(C75),'Gas Calculations'!$A$39:'Gas Calculations'!$F$50,6,FALSE)</f>
        <v>0.70534000000000008</v>
      </c>
      <c r="I75" s="43">
        <f>'Gas Calculations'!$C$24</f>
        <v>0.3412</v>
      </c>
      <c r="J75" s="43">
        <f t="shared" si="3"/>
        <v>35.32999977247426</v>
      </c>
      <c r="K75" s="26"/>
    </row>
    <row r="76" spans="1:11" x14ac:dyDescent="0.35">
      <c r="A76" s="26"/>
      <c r="B76" s="16" t="s">
        <v>24</v>
      </c>
      <c r="C76" s="12">
        <v>44760</v>
      </c>
      <c r="D76" s="20">
        <f>IFERROR(VLOOKUP(C76,'Gas Wc'!$D$23:$W$1048576,20,FALSE),"NA")*(1+'Gas Calculations'!$C$18)</f>
        <v>55.018035986252137</v>
      </c>
      <c r="E76" s="5">
        <f>IFERROR(VLOOKUP(C76,'Gas Wpc'!$D$22:$V$204,19,FALSE),"NA")*(1+'Gas Calculations'!$C$18)</f>
        <v>264.26086523163508</v>
      </c>
      <c r="F76" s="25">
        <f>IFERROR(VLOOKUP(C76,'Gas Wpc'!$D$22:$W$204,20,FALSE),"NA")*MAX(0,E76-D76)</f>
        <v>181.14203606160217</v>
      </c>
      <c r="G76" s="43">
        <f t="shared" si="2"/>
        <v>0.85</v>
      </c>
      <c r="H76" s="43">
        <f>VLOOKUP(MONTH(C76),'Gas Calculations'!$A$39:'Gas Calculations'!$F$50,6,FALSE)</f>
        <v>0.70534000000000008</v>
      </c>
      <c r="I76" s="43">
        <f>'Gas Calculations'!$C$24</f>
        <v>0.3412</v>
      </c>
      <c r="J76" s="43">
        <f t="shared" si="3"/>
        <v>37.054905212024558</v>
      </c>
      <c r="K76" s="26"/>
    </row>
    <row r="77" spans="1:11" x14ac:dyDescent="0.35">
      <c r="A77" s="26"/>
      <c r="B77" s="16" t="s">
        <v>25</v>
      </c>
      <c r="C77" s="12">
        <v>44761</v>
      </c>
      <c r="D77" s="20">
        <f>IFERROR(VLOOKUP(C77,'Gas Wc'!$D$23:$W$1048576,20,FALSE),"NA")*(1+'Gas Calculations'!$C$18)</f>
        <v>55.018035986252137</v>
      </c>
      <c r="E77" s="5">
        <f>IFERROR(VLOOKUP(C77,'Gas Wpc'!$D$22:$V$204,19,FALSE),"NA")*(1+'Gas Calculations'!$C$18)</f>
        <v>264.26086523163508</v>
      </c>
      <c r="F77" s="25">
        <f>IFERROR(VLOOKUP(C77,'Gas Wpc'!$D$22:$W$204,20,FALSE),"NA")*MAX(0,E77-D77)</f>
        <v>181.14203606160217</v>
      </c>
      <c r="G77" s="43">
        <f t="shared" si="2"/>
        <v>0.85</v>
      </c>
      <c r="H77" s="43">
        <f>VLOOKUP(MONTH(C77),'Gas Calculations'!$A$39:'Gas Calculations'!$F$50,6,FALSE)</f>
        <v>0.70534000000000008</v>
      </c>
      <c r="I77" s="43">
        <f>'Gas Calculations'!$C$24</f>
        <v>0.3412</v>
      </c>
      <c r="J77" s="43">
        <f t="shared" si="3"/>
        <v>37.054905212024558</v>
      </c>
      <c r="K77" s="26"/>
    </row>
    <row r="78" spans="1:11" x14ac:dyDescent="0.35">
      <c r="A78" s="26"/>
      <c r="B78" s="16" t="s">
        <v>26</v>
      </c>
      <c r="C78" s="12">
        <v>44762</v>
      </c>
      <c r="D78" s="20">
        <f>IFERROR(VLOOKUP(C78,'Gas Wc'!$D$23:$W$1048576,20,FALSE),"NA")*(1+'Gas Calculations'!$C$18)</f>
        <v>55.018035986252137</v>
      </c>
      <c r="E78" s="5">
        <f>IFERROR(VLOOKUP(C78,'Gas Wpc'!$D$22:$V$204,19,FALSE),"NA")*(1+'Gas Calculations'!$C$18)</f>
        <v>264.26086523163508</v>
      </c>
      <c r="F78" s="25">
        <f>IFERROR(VLOOKUP(C78,'Gas Wpc'!$D$22:$W$204,20,FALSE),"NA")*MAX(0,E78-D78)</f>
        <v>181.1420360616022</v>
      </c>
      <c r="G78" s="43">
        <f t="shared" si="2"/>
        <v>0.85</v>
      </c>
      <c r="H78" s="43">
        <f>VLOOKUP(MONTH(C78),'Gas Calculations'!$A$39:'Gas Calculations'!$F$50,6,FALSE)</f>
        <v>0.70534000000000008</v>
      </c>
      <c r="I78" s="43">
        <f>'Gas Calculations'!$C$24</f>
        <v>0.3412</v>
      </c>
      <c r="J78" s="43">
        <f t="shared" si="3"/>
        <v>37.054905212024558</v>
      </c>
      <c r="K78" s="26"/>
    </row>
    <row r="79" spans="1:11" x14ac:dyDescent="0.35">
      <c r="A79" s="26"/>
      <c r="B79" s="16" t="s">
        <v>27</v>
      </c>
      <c r="C79" s="12">
        <v>44763</v>
      </c>
      <c r="D79" s="20">
        <f>IFERROR(VLOOKUP(C79,'Gas Wc'!$D$23:$W$1048576,20,FALSE),"NA")*(1+'Gas Calculations'!$C$18)</f>
        <v>55.018035986252137</v>
      </c>
      <c r="E79" s="5">
        <f>IFERROR(VLOOKUP(C79,'Gas Wpc'!$D$22:$V$204,19,FALSE),"NA")*(1+'Gas Calculations'!$C$18)</f>
        <v>264.26086523163508</v>
      </c>
      <c r="F79" s="25">
        <f>IFERROR(VLOOKUP(C79,'Gas Wpc'!$D$22:$W$204,20,FALSE),"NA")*MAX(0,E79-D79)</f>
        <v>181.1420360616022</v>
      </c>
      <c r="G79" s="43">
        <f t="shared" si="2"/>
        <v>0.85</v>
      </c>
      <c r="H79" s="43">
        <f>VLOOKUP(MONTH(C79),'Gas Calculations'!$A$39:'Gas Calculations'!$F$50,6,FALSE)</f>
        <v>0.70534000000000008</v>
      </c>
      <c r="I79" s="43">
        <f>'Gas Calculations'!$C$24</f>
        <v>0.3412</v>
      </c>
      <c r="J79" s="43">
        <f t="shared" si="3"/>
        <v>37.054905212024558</v>
      </c>
      <c r="K79" s="26"/>
    </row>
    <row r="80" spans="1:11" x14ac:dyDescent="0.35">
      <c r="A80" s="26"/>
      <c r="B80" s="16" t="s">
        <v>22</v>
      </c>
      <c r="C80" s="12">
        <v>44764</v>
      </c>
      <c r="D80" s="20">
        <f>IFERROR(VLOOKUP(C80,'Gas Wc'!$D$23:$W$1048576,20,FALSE),"NA")*(1+'Gas Calculations'!$C$18)</f>
        <v>55.018035986252137</v>
      </c>
      <c r="E80" s="5">
        <f>IFERROR(VLOOKUP(C80,'Gas Wpc'!$D$22:$V$204,19,FALSE),"NA")*(1+'Gas Calculations'!$C$18)</f>
        <v>264.26086523163508</v>
      </c>
      <c r="F80" s="25">
        <f>IFERROR(VLOOKUP(C80,'Gas Wpc'!$D$22:$W$204,20,FALSE),"NA")*MAX(0,E80-D80)</f>
        <v>181.1420360616022</v>
      </c>
      <c r="G80" s="43">
        <f t="shared" si="2"/>
        <v>0.85</v>
      </c>
      <c r="H80" s="43">
        <f>VLOOKUP(MONTH(C80),'Gas Calculations'!$A$39:'Gas Calculations'!$F$50,6,FALSE)</f>
        <v>0.70534000000000008</v>
      </c>
      <c r="I80" s="43">
        <f>'Gas Calculations'!$C$24</f>
        <v>0.3412</v>
      </c>
      <c r="J80" s="43">
        <f t="shared" si="3"/>
        <v>37.054905212024558</v>
      </c>
      <c r="K80" s="26"/>
    </row>
    <row r="81" spans="1:11" x14ac:dyDescent="0.35">
      <c r="A81" s="26"/>
      <c r="B81" s="16" t="s">
        <v>24</v>
      </c>
      <c r="C81" s="12">
        <v>44767</v>
      </c>
      <c r="D81" s="20">
        <f>IFERROR(VLOOKUP(C81,'Gas Wc'!$D$23:$W$1048576,20,FALSE),"NA")*(1+'Gas Calculations'!$C$18)</f>
        <v>49.617391523266285</v>
      </c>
      <c r="E81" s="5">
        <f>IFERROR(VLOOKUP(C81,'Gas Wpc'!$D$22:$V$204,19,FALSE),"NA")*(1+'Gas Calculations'!$C$18)</f>
        <v>267.62953196065848</v>
      </c>
      <c r="F81" s="25">
        <f>IFERROR(VLOOKUP(C81,'Gas Wpc'!$D$22:$W$204,20,FALSE),"NA")*MAX(0,E81-D81)</f>
        <v>188.73365050261845</v>
      </c>
      <c r="G81" s="43">
        <f t="shared" si="2"/>
        <v>0.85</v>
      </c>
      <c r="H81" s="43">
        <f>VLOOKUP(MONTH(C81),'Gas Calculations'!$A$39:'Gas Calculations'!$F$50,6,FALSE)</f>
        <v>0.70534000000000008</v>
      </c>
      <c r="I81" s="43">
        <f>'Gas Calculations'!$C$24</f>
        <v>0.3412</v>
      </c>
      <c r="J81" s="43">
        <f t="shared" si="3"/>
        <v>38.607866411060812</v>
      </c>
      <c r="K81" s="26"/>
    </row>
    <row r="82" spans="1:11" x14ac:dyDescent="0.35">
      <c r="A82" s="26"/>
      <c r="B82" s="16" t="s">
        <v>25</v>
      </c>
      <c r="C82" s="12">
        <v>44768</v>
      </c>
      <c r="D82" s="20">
        <f>IFERROR(VLOOKUP(C82,'Gas Wc'!$D$23:$W$1048576,20,FALSE),"NA")*(1+'Gas Calculations'!$C$18)</f>
        <v>49.617391523266285</v>
      </c>
      <c r="E82" s="5">
        <f>IFERROR(VLOOKUP(C82,'Gas Wpc'!$D$22:$V$204,19,FALSE),"NA")*(1+'Gas Calculations'!$C$18)</f>
        <v>267.62953196065848</v>
      </c>
      <c r="F82" s="25">
        <f>IFERROR(VLOOKUP(C82,'Gas Wpc'!$D$22:$W$204,20,FALSE),"NA")*MAX(0,E82-D82)</f>
        <v>188.73365050261845</v>
      </c>
      <c r="G82" s="43">
        <f t="shared" si="2"/>
        <v>0.85</v>
      </c>
      <c r="H82" s="43">
        <f>VLOOKUP(MONTH(C82),'Gas Calculations'!$A$39:'Gas Calculations'!$F$50,6,FALSE)</f>
        <v>0.70534000000000008</v>
      </c>
      <c r="I82" s="43">
        <f>'Gas Calculations'!$C$24</f>
        <v>0.3412</v>
      </c>
      <c r="J82" s="43">
        <f t="shared" si="3"/>
        <v>38.607866411060812</v>
      </c>
      <c r="K82" s="26"/>
    </row>
    <row r="83" spans="1:11" x14ac:dyDescent="0.35">
      <c r="A83" s="26"/>
      <c r="B83" s="16" t="s">
        <v>26</v>
      </c>
      <c r="C83" s="12">
        <v>44769</v>
      </c>
      <c r="D83" s="20">
        <f>IFERROR(VLOOKUP(C83,'Gas Wc'!$D$23:$W$1048576,20,FALSE),"NA")*(1+'Gas Calculations'!$C$18)</f>
        <v>49.617391523266285</v>
      </c>
      <c r="E83" s="5">
        <f>IFERROR(VLOOKUP(C83,'Gas Wpc'!$D$22:$V$204,19,FALSE),"NA")*(1+'Gas Calculations'!$C$18)</f>
        <v>267.62953196065848</v>
      </c>
      <c r="F83" s="25">
        <f>IFERROR(VLOOKUP(C83,'Gas Wpc'!$D$22:$W$204,20,FALSE),"NA")*MAX(0,E83-D83)</f>
        <v>188.73365050261845</v>
      </c>
      <c r="G83" s="43">
        <f t="shared" si="2"/>
        <v>0.85</v>
      </c>
      <c r="H83" s="43">
        <f>VLOOKUP(MONTH(C83),'Gas Calculations'!$A$39:'Gas Calculations'!$F$50,6,FALSE)</f>
        <v>0.70534000000000008</v>
      </c>
      <c r="I83" s="43">
        <f>'Gas Calculations'!$C$24</f>
        <v>0.3412</v>
      </c>
      <c r="J83" s="43">
        <f t="shared" si="3"/>
        <v>38.607866411060812</v>
      </c>
      <c r="K83" s="26"/>
    </row>
    <row r="84" spans="1:11" x14ac:dyDescent="0.35">
      <c r="A84" s="26"/>
      <c r="B84" s="16" t="s">
        <v>27</v>
      </c>
      <c r="C84" s="12">
        <v>44770</v>
      </c>
      <c r="D84" s="20">
        <f>IFERROR(VLOOKUP(C84,'Gas Wc'!$D$23:$W$1048576,20,FALSE),"NA")*(1+'Gas Calculations'!$C$18)</f>
        <v>49.617391523266285</v>
      </c>
      <c r="E84" s="5">
        <f>IFERROR(VLOOKUP(C84,'Gas Wpc'!$D$22:$V$204,19,FALSE),"NA")*(1+'Gas Calculations'!$C$18)</f>
        <v>267.62953196065848</v>
      </c>
      <c r="F84" s="25">
        <f>IFERROR(VLOOKUP(C84,'Gas Wpc'!$D$22:$W$204,20,FALSE),"NA")*MAX(0,E84-D84)</f>
        <v>188.73365050261845</v>
      </c>
      <c r="G84" s="43">
        <f t="shared" si="2"/>
        <v>0.85</v>
      </c>
      <c r="H84" s="43">
        <f>VLOOKUP(MONTH(C84),'Gas Calculations'!$A$39:'Gas Calculations'!$F$50,6,FALSE)</f>
        <v>0.70534000000000008</v>
      </c>
      <c r="I84" s="43">
        <f>'Gas Calculations'!$C$24</f>
        <v>0.3412</v>
      </c>
      <c r="J84" s="43">
        <f t="shared" si="3"/>
        <v>38.607866411060812</v>
      </c>
      <c r="K84" s="26"/>
    </row>
    <row r="85" spans="1:11" x14ac:dyDescent="0.35">
      <c r="A85" s="26"/>
      <c r="B85" s="16" t="s">
        <v>22</v>
      </c>
      <c r="C85" s="12">
        <v>44771</v>
      </c>
      <c r="D85" s="20">
        <f>IFERROR(VLOOKUP(C85,'Gas Wc'!$D$23:$W$1048576,20,FALSE),"NA")*(1+'Gas Calculations'!$C$18)</f>
        <v>49.617391523266285</v>
      </c>
      <c r="E85" s="5">
        <f>IFERROR(VLOOKUP(C85,'Gas Wpc'!$D$22:$V$204,19,FALSE),"NA")*(1+'Gas Calculations'!$C$18)</f>
        <v>267.62953196065848</v>
      </c>
      <c r="F85" s="25">
        <f>IFERROR(VLOOKUP(C85,'Gas Wpc'!$D$22:$W$204,20,FALSE),"NA")*MAX(0,E85-D85)</f>
        <v>188.73365050261845</v>
      </c>
      <c r="G85" s="43">
        <f t="shared" si="2"/>
        <v>0.85</v>
      </c>
      <c r="H85" s="43">
        <f>VLOOKUP(MONTH(C85),'Gas Calculations'!$A$39:'Gas Calculations'!$F$50,6,FALSE)</f>
        <v>0.70534000000000008</v>
      </c>
      <c r="I85" s="43">
        <f>'Gas Calculations'!$C$24</f>
        <v>0.3412</v>
      </c>
      <c r="J85" s="43">
        <f t="shared" si="3"/>
        <v>38.607866411060812</v>
      </c>
      <c r="K85" s="26"/>
    </row>
    <row r="86" spans="1:11" x14ac:dyDescent="0.35">
      <c r="A86" s="26"/>
      <c r="B86" s="16" t="s">
        <v>24</v>
      </c>
      <c r="C86" s="12">
        <v>44774</v>
      </c>
      <c r="D86" s="20">
        <f>IFERROR(VLOOKUP(C86,'Gas Wc'!$D$23:$W$1048576,20,FALSE),"NA")*(1+'Gas Calculations'!$C$18)</f>
        <v>45.076508893374815</v>
      </c>
      <c r="E86" s="5">
        <f>IFERROR(VLOOKUP(C86,'Gas Wpc'!$D$22:$V$204,19,FALSE),"NA")*(1+'Gas Calculations'!$C$18)</f>
        <v>270.8044877852675</v>
      </c>
      <c r="F86" s="25">
        <f>IFERROR(VLOOKUP(C86,'Gas Wpc'!$D$22:$W$204,20,FALSE),"NA")*MAX(0,E86-D86)</f>
        <v>195.41327098285754</v>
      </c>
      <c r="G86" s="43">
        <f t="shared" si="2"/>
        <v>0.85</v>
      </c>
      <c r="H86" s="43">
        <f>VLOOKUP(MONTH(C86),'Gas Calculations'!$A$39:'Gas Calculations'!$F$50,6,FALSE)</f>
        <v>0.81099999999999994</v>
      </c>
      <c r="I86" s="43">
        <f>'Gas Calculations'!$C$24</f>
        <v>0.3412</v>
      </c>
      <c r="J86" s="43">
        <f t="shared" si="3"/>
        <v>45.962416805713602</v>
      </c>
      <c r="K86" s="26"/>
    </row>
    <row r="87" spans="1:11" x14ac:dyDescent="0.35">
      <c r="A87" s="26"/>
      <c r="B87" s="16" t="s">
        <v>25</v>
      </c>
      <c r="C87" s="12">
        <v>44775</v>
      </c>
      <c r="D87" s="20">
        <f>IFERROR(VLOOKUP(C87,'Gas Wc'!$D$23:$W$1048576,20,FALSE),"NA")*(1+'Gas Calculations'!$C$18)</f>
        <v>45.076508893374815</v>
      </c>
      <c r="E87" s="5">
        <f>IFERROR(VLOOKUP(C87,'Gas Wpc'!$D$22:$V$204,19,FALSE),"NA")*(1+'Gas Calculations'!$C$18)</f>
        <v>270.8044877852675</v>
      </c>
      <c r="F87" s="25">
        <f>IFERROR(VLOOKUP(C87,'Gas Wpc'!$D$22:$W$204,20,FALSE),"NA")*MAX(0,E87-D87)</f>
        <v>195.41327098285751</v>
      </c>
      <c r="G87" s="43">
        <f t="shared" si="2"/>
        <v>0.85</v>
      </c>
      <c r="H87" s="43">
        <f>VLOOKUP(MONTH(C87),'Gas Calculations'!$A$39:'Gas Calculations'!$F$50,6,FALSE)</f>
        <v>0.81099999999999994</v>
      </c>
      <c r="I87" s="43">
        <f>'Gas Calculations'!$C$24</f>
        <v>0.3412</v>
      </c>
      <c r="J87" s="43">
        <f t="shared" si="3"/>
        <v>45.962416805713588</v>
      </c>
      <c r="K87" s="26"/>
    </row>
    <row r="88" spans="1:11" x14ac:dyDescent="0.35">
      <c r="A88" s="26"/>
      <c r="B88" s="16" t="s">
        <v>26</v>
      </c>
      <c r="C88" s="12">
        <v>44776</v>
      </c>
      <c r="D88" s="20">
        <f>IFERROR(VLOOKUP(C88,'Gas Wc'!$D$23:$W$1048576,20,FALSE),"NA")*(1+'Gas Calculations'!$C$18)</f>
        <v>45.076508893374815</v>
      </c>
      <c r="E88" s="5">
        <f>IFERROR(VLOOKUP(C88,'Gas Wpc'!$D$22:$V$204,19,FALSE),"NA")*(1+'Gas Calculations'!$C$18)</f>
        <v>270.8044877852675</v>
      </c>
      <c r="F88" s="25">
        <f>IFERROR(VLOOKUP(C88,'Gas Wpc'!$D$22:$W$204,20,FALSE),"NA")*MAX(0,E88-D88)</f>
        <v>195.41327098285751</v>
      </c>
      <c r="G88" s="43">
        <f t="shared" si="2"/>
        <v>0.85</v>
      </c>
      <c r="H88" s="43">
        <f>VLOOKUP(MONTH(C88),'Gas Calculations'!$A$39:'Gas Calculations'!$F$50,6,FALSE)</f>
        <v>0.81099999999999994</v>
      </c>
      <c r="I88" s="43">
        <f>'Gas Calculations'!$C$24</f>
        <v>0.3412</v>
      </c>
      <c r="J88" s="43">
        <f t="shared" si="3"/>
        <v>45.962416805713588</v>
      </c>
      <c r="K88" s="26"/>
    </row>
    <row r="89" spans="1:11" x14ac:dyDescent="0.35">
      <c r="A89" s="26"/>
      <c r="B89" s="16" t="s">
        <v>27</v>
      </c>
      <c r="C89" s="12">
        <v>44777</v>
      </c>
      <c r="D89" s="20">
        <f>IFERROR(VLOOKUP(C89,'Gas Wc'!$D$23:$W$1048576,20,FALSE),"NA")*(1+'Gas Calculations'!$C$18)</f>
        <v>45.076508893374815</v>
      </c>
      <c r="E89" s="5">
        <f>IFERROR(VLOOKUP(C89,'Gas Wpc'!$D$22:$V$204,19,FALSE),"NA")*(1+'Gas Calculations'!$C$18)</f>
        <v>270.8044877852675</v>
      </c>
      <c r="F89" s="25">
        <f>IFERROR(VLOOKUP(C89,'Gas Wpc'!$D$22:$W$204,20,FALSE),"NA")*MAX(0,E89-D89)</f>
        <v>195.41327098285751</v>
      </c>
      <c r="G89" s="43">
        <f t="shared" si="2"/>
        <v>0.85</v>
      </c>
      <c r="H89" s="43">
        <f>VLOOKUP(MONTH(C89),'Gas Calculations'!$A$39:'Gas Calculations'!$F$50,6,FALSE)</f>
        <v>0.81099999999999994</v>
      </c>
      <c r="I89" s="43">
        <f>'Gas Calculations'!$C$24</f>
        <v>0.3412</v>
      </c>
      <c r="J89" s="43">
        <f t="shared" si="3"/>
        <v>45.962416805713588</v>
      </c>
      <c r="K89" s="26"/>
    </row>
    <row r="90" spans="1:11" x14ac:dyDescent="0.35">
      <c r="A90" s="26"/>
      <c r="B90" s="16" t="s">
        <v>22</v>
      </c>
      <c r="C90" s="12">
        <v>44778</v>
      </c>
      <c r="D90" s="20">
        <f>IFERROR(VLOOKUP(C90,'Gas Wc'!$D$23:$W$1048576,20,FALSE),"NA")*(1+'Gas Calculations'!$C$18)</f>
        <v>45.076508893374815</v>
      </c>
      <c r="E90" s="5">
        <f>IFERROR(VLOOKUP(C90,'Gas Wpc'!$D$22:$V$204,19,FALSE),"NA")*(1+'Gas Calculations'!$C$18)</f>
        <v>270.8044877852675</v>
      </c>
      <c r="F90" s="25">
        <f>IFERROR(VLOOKUP(C90,'Gas Wpc'!$D$22:$W$204,20,FALSE),"NA")*MAX(0,E90-D90)</f>
        <v>195.41327098285754</v>
      </c>
      <c r="G90" s="43">
        <f t="shared" si="2"/>
        <v>0.85</v>
      </c>
      <c r="H90" s="43">
        <f>VLOOKUP(MONTH(C90),'Gas Calculations'!$A$39:'Gas Calculations'!$F$50,6,FALSE)</f>
        <v>0.81099999999999994</v>
      </c>
      <c r="I90" s="43">
        <f>'Gas Calculations'!$C$24</f>
        <v>0.3412</v>
      </c>
      <c r="J90" s="43">
        <f t="shared" si="3"/>
        <v>45.962416805713602</v>
      </c>
      <c r="K90" s="26"/>
    </row>
    <row r="91" spans="1:11" x14ac:dyDescent="0.35">
      <c r="A91" s="26"/>
      <c r="B91" s="16" t="s">
        <v>24</v>
      </c>
      <c r="C91" s="12">
        <v>44781</v>
      </c>
      <c r="D91" s="20">
        <f>IFERROR(VLOOKUP(C91,'Gas Wc'!$D$23:$W$1048576,20,FALSE),"NA")*(1+'Gas Calculations'!$C$18)</f>
        <v>43.538685928332555</v>
      </c>
      <c r="E91" s="5">
        <f>IFERROR(VLOOKUP(C91,'Gas Wpc'!$D$22:$V$204,19,FALSE),"NA")*(1+'Gas Calculations'!$C$18)</f>
        <v>273.80197489432868</v>
      </c>
      <c r="F91" s="25">
        <f>IFERROR(VLOOKUP(C91,'Gas Wpc'!$D$22:$W$204,20,FALSE),"NA")*MAX(0,E91-D91)</f>
        <v>199.33950015857931</v>
      </c>
      <c r="G91" s="43">
        <f t="shared" si="2"/>
        <v>0.85</v>
      </c>
      <c r="H91" s="43">
        <f>VLOOKUP(MONTH(C91),'Gas Calculations'!$A$39:'Gas Calculations'!$F$50,6,FALSE)</f>
        <v>0.81099999999999994</v>
      </c>
      <c r="I91" s="43">
        <f>'Gas Calculations'!$C$24</f>
        <v>0.3412</v>
      </c>
      <c r="J91" s="43">
        <f t="shared" si="3"/>
        <v>46.885890328988836</v>
      </c>
      <c r="K91" s="26"/>
    </row>
    <row r="92" spans="1:11" x14ac:dyDescent="0.35">
      <c r="A92" s="26"/>
      <c r="B92" s="16" t="s">
        <v>25</v>
      </c>
      <c r="C92" s="12">
        <v>44782</v>
      </c>
      <c r="D92" s="20">
        <f>IFERROR(VLOOKUP(C92,'Gas Wc'!$D$23:$W$1048576,20,FALSE),"NA")*(1+'Gas Calculations'!$C$18)</f>
        <v>43.538685928332555</v>
      </c>
      <c r="E92" s="5">
        <f>IFERROR(VLOOKUP(C92,'Gas Wpc'!$D$22:$V$204,19,FALSE),"NA")*(1+'Gas Calculations'!$C$18)</f>
        <v>273.80197489432868</v>
      </c>
      <c r="F92" s="25">
        <f>IFERROR(VLOOKUP(C92,'Gas Wpc'!$D$22:$W$204,20,FALSE),"NA")*MAX(0,E92-D92)</f>
        <v>199.33950015857931</v>
      </c>
      <c r="G92" s="43">
        <f t="shared" si="2"/>
        <v>0.85</v>
      </c>
      <c r="H92" s="43">
        <f>VLOOKUP(MONTH(C92),'Gas Calculations'!$A$39:'Gas Calculations'!$F$50,6,FALSE)</f>
        <v>0.81099999999999994</v>
      </c>
      <c r="I92" s="43">
        <f>'Gas Calculations'!$C$24</f>
        <v>0.3412</v>
      </c>
      <c r="J92" s="43">
        <f t="shared" si="3"/>
        <v>46.885890328988836</v>
      </c>
      <c r="K92" s="26"/>
    </row>
    <row r="93" spans="1:11" x14ac:dyDescent="0.35">
      <c r="A93" s="26"/>
      <c r="B93" s="16" t="s">
        <v>26</v>
      </c>
      <c r="C93" s="12">
        <v>44783</v>
      </c>
      <c r="D93" s="20">
        <f>IFERROR(VLOOKUP(C93,'Gas Wc'!$D$23:$W$1048576,20,FALSE),"NA")*(1+'Gas Calculations'!$C$18)</f>
        <v>43.538685928332555</v>
      </c>
      <c r="E93" s="5">
        <f>IFERROR(VLOOKUP(C93,'Gas Wpc'!$D$22:$V$204,19,FALSE),"NA")*(1+'Gas Calculations'!$C$18)</f>
        <v>273.80197489432868</v>
      </c>
      <c r="F93" s="25">
        <f>IFERROR(VLOOKUP(C93,'Gas Wpc'!$D$22:$W$204,20,FALSE),"NA")*MAX(0,E93-D93)</f>
        <v>199.33950015857928</v>
      </c>
      <c r="G93" s="43">
        <f t="shared" si="2"/>
        <v>0.85</v>
      </c>
      <c r="H93" s="43">
        <f>VLOOKUP(MONTH(C93),'Gas Calculations'!$A$39:'Gas Calculations'!$F$50,6,FALSE)</f>
        <v>0.81099999999999994</v>
      </c>
      <c r="I93" s="43">
        <f>'Gas Calculations'!$C$24</f>
        <v>0.3412</v>
      </c>
      <c r="J93" s="43">
        <f t="shared" si="3"/>
        <v>46.885890328988836</v>
      </c>
      <c r="K93" s="26"/>
    </row>
    <row r="94" spans="1:11" x14ac:dyDescent="0.35">
      <c r="A94" s="26"/>
      <c r="B94" s="16" t="s">
        <v>27</v>
      </c>
      <c r="C94" s="12">
        <v>44784</v>
      </c>
      <c r="D94" s="20">
        <f>IFERROR(VLOOKUP(C94,'Gas Wc'!$D$23:$W$1048576,20,FALSE),"NA")*(1+'Gas Calculations'!$C$18)</f>
        <v>43.538685928332555</v>
      </c>
      <c r="E94" s="5">
        <f>IFERROR(VLOOKUP(C94,'Gas Wpc'!$D$22:$V$204,19,FALSE),"NA")*(1+'Gas Calculations'!$C$18)</f>
        <v>273.80197489432868</v>
      </c>
      <c r="F94" s="25">
        <f>IFERROR(VLOOKUP(C94,'Gas Wpc'!$D$22:$W$204,20,FALSE),"NA")*MAX(0,E94-D94)</f>
        <v>199.33950015857928</v>
      </c>
      <c r="G94" s="43">
        <f t="shared" si="2"/>
        <v>0.85</v>
      </c>
      <c r="H94" s="43">
        <f>VLOOKUP(MONTH(C94),'Gas Calculations'!$A$39:'Gas Calculations'!$F$50,6,FALSE)</f>
        <v>0.81099999999999994</v>
      </c>
      <c r="I94" s="43">
        <f>'Gas Calculations'!$C$24</f>
        <v>0.3412</v>
      </c>
      <c r="J94" s="43">
        <f t="shared" si="3"/>
        <v>46.885890328988836</v>
      </c>
      <c r="K94" s="26"/>
    </row>
    <row r="95" spans="1:11" x14ac:dyDescent="0.35">
      <c r="A95" s="26"/>
      <c r="B95" s="16" t="s">
        <v>22</v>
      </c>
      <c r="C95" s="12">
        <v>44785</v>
      </c>
      <c r="D95" s="20">
        <f>IFERROR(VLOOKUP(C95,'Gas Wc'!$D$23:$W$1048576,20,FALSE),"NA")*(1+'Gas Calculations'!$C$18)</f>
        <v>43.538685928332555</v>
      </c>
      <c r="E95" s="5">
        <f>IFERROR(VLOOKUP(C95,'Gas Wpc'!$D$22:$V$204,19,FALSE),"NA")*(1+'Gas Calculations'!$C$18)</f>
        <v>273.80197489432868</v>
      </c>
      <c r="F95" s="25">
        <f>IFERROR(VLOOKUP(C95,'Gas Wpc'!$D$22:$W$204,20,FALSE),"NA")*MAX(0,E95-D95)</f>
        <v>199.33950015857928</v>
      </c>
      <c r="G95" s="43">
        <f t="shared" si="2"/>
        <v>0.85</v>
      </c>
      <c r="H95" s="43">
        <f>VLOOKUP(MONTH(C95),'Gas Calculations'!$A$39:'Gas Calculations'!$F$50,6,FALSE)</f>
        <v>0.81099999999999994</v>
      </c>
      <c r="I95" s="43">
        <f>'Gas Calculations'!$C$24</f>
        <v>0.3412</v>
      </c>
      <c r="J95" s="43">
        <f t="shared" si="3"/>
        <v>46.885890328988836</v>
      </c>
      <c r="K95" s="26"/>
    </row>
    <row r="96" spans="1:11" x14ac:dyDescent="0.35">
      <c r="A96" s="26"/>
      <c r="B96" s="16" t="s">
        <v>24</v>
      </c>
      <c r="C96" s="12">
        <v>44788</v>
      </c>
      <c r="D96" s="20">
        <f>IFERROR(VLOOKUP(C96,'Gas Wc'!$D$23:$W$1048576,20,FALSE),"NA")*(1+'Gas Calculations'!$C$18)</f>
        <v>56.027432249712305</v>
      </c>
      <c r="E96" s="5">
        <f>IFERROR(VLOOKUP(C96,'Gas Wpc'!$D$22:$V$204,19,FALSE),"NA")*(1+'Gas Calculations'!$C$18)</f>
        <v>276.6364689702487</v>
      </c>
      <c r="F96" s="25">
        <f>IFERROR(VLOOKUP(C96,'Gas Wpc'!$D$22:$W$204,20,FALSE),"NA")*MAX(0,E96-D96)</f>
        <v>190.98179005352222</v>
      </c>
      <c r="G96" s="43">
        <f t="shared" si="2"/>
        <v>0.85</v>
      </c>
      <c r="H96" s="43">
        <f>VLOOKUP(MONTH(C96),'Gas Calculations'!$A$39:'Gas Calculations'!$F$50,6,FALSE)</f>
        <v>0.81099999999999994</v>
      </c>
      <c r="I96" s="43">
        <f>'Gas Calculations'!$C$24</f>
        <v>0.3412</v>
      </c>
      <c r="J96" s="43">
        <f t="shared" si="3"/>
        <v>44.920104927322555</v>
      </c>
      <c r="K96" s="26"/>
    </row>
    <row r="97" spans="1:11" x14ac:dyDescent="0.35">
      <c r="A97" s="26"/>
      <c r="B97" s="16" t="s">
        <v>25</v>
      </c>
      <c r="C97" s="12">
        <v>44789</v>
      </c>
      <c r="D97" s="20">
        <f>IFERROR(VLOOKUP(C97,'Gas Wc'!$D$23:$W$1048576,20,FALSE),"NA")*(1+'Gas Calculations'!$C$18)</f>
        <v>56.027432249712305</v>
      </c>
      <c r="E97" s="5">
        <f>IFERROR(VLOOKUP(C97,'Gas Wpc'!$D$22:$V$204,19,FALSE),"NA")*(1+'Gas Calculations'!$C$18)</f>
        <v>276.6364689702487</v>
      </c>
      <c r="F97" s="25">
        <f>IFERROR(VLOOKUP(C97,'Gas Wpc'!$D$22:$W$204,20,FALSE),"NA")*MAX(0,E97-D97)</f>
        <v>190.98179005352222</v>
      </c>
      <c r="G97" s="43">
        <f t="shared" si="2"/>
        <v>0.85</v>
      </c>
      <c r="H97" s="43">
        <f>VLOOKUP(MONTH(C97),'Gas Calculations'!$A$39:'Gas Calculations'!$F$50,6,FALSE)</f>
        <v>0.81099999999999994</v>
      </c>
      <c r="I97" s="43">
        <f>'Gas Calculations'!$C$24</f>
        <v>0.3412</v>
      </c>
      <c r="J97" s="43">
        <f t="shared" si="3"/>
        <v>44.920104927322555</v>
      </c>
      <c r="K97" s="26"/>
    </row>
    <row r="98" spans="1:11" x14ac:dyDescent="0.35">
      <c r="A98" s="26"/>
      <c r="B98" s="16" t="s">
        <v>26</v>
      </c>
      <c r="C98" s="12">
        <v>44790</v>
      </c>
      <c r="D98" s="20">
        <f>IFERROR(VLOOKUP(C98,'Gas Wc'!$D$23:$W$1048576,20,FALSE),"NA")*(1+'Gas Calculations'!$C$18)</f>
        <v>56.027432249712305</v>
      </c>
      <c r="E98" s="5">
        <f>IFERROR(VLOOKUP(C98,'Gas Wpc'!$D$22:$V$204,19,FALSE),"NA")*(1+'Gas Calculations'!$C$18)</f>
        <v>276.6364689702487</v>
      </c>
      <c r="F98" s="25">
        <f>IFERROR(VLOOKUP(C98,'Gas Wpc'!$D$22:$W$204,20,FALSE),"NA")*MAX(0,E98-D98)</f>
        <v>190.98179005352222</v>
      </c>
      <c r="G98" s="43">
        <f t="shared" si="2"/>
        <v>0.85</v>
      </c>
      <c r="H98" s="43">
        <f>VLOOKUP(MONTH(C98),'Gas Calculations'!$A$39:'Gas Calculations'!$F$50,6,FALSE)</f>
        <v>0.81099999999999994</v>
      </c>
      <c r="I98" s="43">
        <f>'Gas Calculations'!$C$24</f>
        <v>0.3412</v>
      </c>
      <c r="J98" s="43">
        <f t="shared" si="3"/>
        <v>44.920104927322555</v>
      </c>
      <c r="K98" s="26"/>
    </row>
    <row r="99" spans="1:11" x14ac:dyDescent="0.35">
      <c r="A99" s="26"/>
      <c r="B99" s="16" t="s">
        <v>27</v>
      </c>
      <c r="C99" s="12">
        <v>44791</v>
      </c>
      <c r="D99" s="20">
        <f>IFERROR(VLOOKUP(C99,'Gas Wc'!$D$23:$W$1048576,20,FALSE),"NA")*(1+'Gas Calculations'!$C$18)</f>
        <v>56.027432249712305</v>
      </c>
      <c r="E99" s="5">
        <f>IFERROR(VLOOKUP(C99,'Gas Wpc'!$D$22:$V$204,19,FALSE),"NA")*(1+'Gas Calculations'!$C$18)</f>
        <v>276.6364689702487</v>
      </c>
      <c r="F99" s="25">
        <f>IFERROR(VLOOKUP(C99,'Gas Wpc'!$D$22:$W$204,20,FALSE),"NA")*MAX(0,E99-D99)</f>
        <v>190.98179005352219</v>
      </c>
      <c r="G99" s="43">
        <f t="shared" si="2"/>
        <v>0.85</v>
      </c>
      <c r="H99" s="43">
        <f>VLOOKUP(MONTH(C99),'Gas Calculations'!$A$39:'Gas Calculations'!$F$50,6,FALSE)</f>
        <v>0.81099999999999994</v>
      </c>
      <c r="I99" s="43">
        <f>'Gas Calculations'!$C$24</f>
        <v>0.3412</v>
      </c>
      <c r="J99" s="43">
        <f t="shared" si="3"/>
        <v>44.920104927322548</v>
      </c>
      <c r="K99" s="26"/>
    </row>
    <row r="100" spans="1:11" x14ac:dyDescent="0.35">
      <c r="A100" s="26"/>
      <c r="B100" s="16" t="s">
        <v>22</v>
      </c>
      <c r="C100" s="12">
        <v>44792</v>
      </c>
      <c r="D100" s="20">
        <f>IFERROR(VLOOKUP(C100,'Gas Wc'!$D$23:$W$1048576,20,FALSE),"NA")*(1+'Gas Calculations'!$C$18)</f>
        <v>56.027432249712305</v>
      </c>
      <c r="E100" s="5">
        <f>IFERROR(VLOOKUP(C100,'Gas Wpc'!$D$22:$V$204,19,FALSE),"NA")*(1+'Gas Calculations'!$C$18)</f>
        <v>276.6364689702487</v>
      </c>
      <c r="F100" s="25">
        <f>IFERROR(VLOOKUP(C100,'Gas Wpc'!$D$22:$W$204,20,FALSE),"NA")*MAX(0,E100-D100)</f>
        <v>190.98179005352219</v>
      </c>
      <c r="G100" s="43">
        <f t="shared" si="2"/>
        <v>0.85</v>
      </c>
      <c r="H100" s="43">
        <f>VLOOKUP(MONTH(C100),'Gas Calculations'!$A$39:'Gas Calculations'!$F$50,6,FALSE)</f>
        <v>0.81099999999999994</v>
      </c>
      <c r="I100" s="43">
        <f>'Gas Calculations'!$C$24</f>
        <v>0.3412</v>
      </c>
      <c r="J100" s="43">
        <f t="shared" si="3"/>
        <v>44.920104927322548</v>
      </c>
      <c r="K100" s="26"/>
    </row>
    <row r="101" spans="1:11" x14ac:dyDescent="0.35">
      <c r="A101" s="26"/>
      <c r="B101" s="16" t="s">
        <v>24</v>
      </c>
      <c r="C101" s="12">
        <v>44795</v>
      </c>
      <c r="D101" s="20">
        <f>IFERROR(VLOOKUP(C101,'Gas Wc'!$D$23:$W$1048576,20,FALSE),"NA")*(1+'Gas Calculations'!$C$18)</f>
        <v>50.774432645031666</v>
      </c>
      <c r="E101" s="5">
        <f>IFERROR(VLOOKUP(C101,'Gas Wpc'!$D$22:$V$204,19,FALSE),"NA")*(1+'Gas Calculations'!$C$18)</f>
        <v>279.32091299597391</v>
      </c>
      <c r="F101" s="25">
        <f>IFERROR(VLOOKUP(C101,'Gas Wpc'!$D$22:$W$204,20,FALSE),"NA")*MAX(0,E101-D101)</f>
        <v>197.8532546839769</v>
      </c>
      <c r="G101" s="43">
        <f t="shared" si="2"/>
        <v>0.85</v>
      </c>
      <c r="H101" s="43">
        <f>VLOOKUP(MONTH(C101),'Gas Calculations'!$A$39:'Gas Calculations'!$F$50,6,FALSE)</f>
        <v>0.81099999999999994</v>
      </c>
      <c r="I101" s="43">
        <f>'Gas Calculations'!$C$24</f>
        <v>0.3412</v>
      </c>
      <c r="J101" s="43">
        <f t="shared" si="3"/>
        <v>46.536316148915496</v>
      </c>
      <c r="K101" s="26"/>
    </row>
    <row r="102" spans="1:11" x14ac:dyDescent="0.35">
      <c r="A102" s="26"/>
      <c r="B102" s="16" t="s">
        <v>25</v>
      </c>
      <c r="C102" s="12">
        <v>44796</v>
      </c>
      <c r="D102" s="20">
        <f>IFERROR(VLOOKUP(C102,'Gas Wc'!$D$23:$W$1048576,20,FALSE),"NA")*(1+'Gas Calculations'!$C$18)</f>
        <v>50.774432645031666</v>
      </c>
      <c r="E102" s="5">
        <f>IFERROR(VLOOKUP(C102,'Gas Wpc'!$D$22:$V$204,19,FALSE),"NA")*(1+'Gas Calculations'!$C$18)</f>
        <v>279.32091299597391</v>
      </c>
      <c r="F102" s="25">
        <f>IFERROR(VLOOKUP(C102,'Gas Wpc'!$D$22:$W$204,20,FALSE),"NA")*MAX(0,E102-D102)</f>
        <v>197.8532546839769</v>
      </c>
      <c r="G102" s="43">
        <f t="shared" si="2"/>
        <v>0.85</v>
      </c>
      <c r="H102" s="43">
        <f>VLOOKUP(MONTH(C102),'Gas Calculations'!$A$39:'Gas Calculations'!$F$50,6,FALSE)</f>
        <v>0.81099999999999994</v>
      </c>
      <c r="I102" s="43">
        <f>'Gas Calculations'!$C$24</f>
        <v>0.3412</v>
      </c>
      <c r="J102" s="43">
        <f t="shared" si="3"/>
        <v>46.536316148915496</v>
      </c>
      <c r="K102" s="26"/>
    </row>
    <row r="103" spans="1:11" x14ac:dyDescent="0.35">
      <c r="A103" s="26"/>
      <c r="B103" s="16" t="s">
        <v>26</v>
      </c>
      <c r="C103" s="12">
        <v>44797</v>
      </c>
      <c r="D103" s="20">
        <f>IFERROR(VLOOKUP(C103,'Gas Wc'!$D$23:$W$1048576,20,FALSE),"NA")*(1+'Gas Calculations'!$C$18)</f>
        <v>50.774432645031666</v>
      </c>
      <c r="E103" s="5">
        <f>IFERROR(VLOOKUP(C103,'Gas Wpc'!$D$22:$V$204,19,FALSE),"NA")*(1+'Gas Calculations'!$C$18)</f>
        <v>279.32091299597391</v>
      </c>
      <c r="F103" s="25">
        <f>IFERROR(VLOOKUP(C103,'Gas Wpc'!$D$22:$W$204,20,FALSE),"NA")*MAX(0,E103-D103)</f>
        <v>197.8532546839769</v>
      </c>
      <c r="G103" s="43">
        <f t="shared" si="2"/>
        <v>0.85</v>
      </c>
      <c r="H103" s="43">
        <f>VLOOKUP(MONTH(C103),'Gas Calculations'!$A$39:'Gas Calculations'!$F$50,6,FALSE)</f>
        <v>0.81099999999999994</v>
      </c>
      <c r="I103" s="43">
        <f>'Gas Calculations'!$C$24</f>
        <v>0.3412</v>
      </c>
      <c r="J103" s="43">
        <f t="shared" si="3"/>
        <v>46.536316148915496</v>
      </c>
      <c r="K103" s="26"/>
    </row>
    <row r="104" spans="1:11" x14ac:dyDescent="0.35">
      <c r="A104" s="26"/>
      <c r="B104" s="16" t="s">
        <v>27</v>
      </c>
      <c r="C104" s="12">
        <v>44798</v>
      </c>
      <c r="D104" s="20">
        <f>IFERROR(VLOOKUP(C104,'Gas Wc'!$D$23:$W$1048576,20,FALSE),"NA")*(1+'Gas Calculations'!$C$18)</f>
        <v>50.774432645031666</v>
      </c>
      <c r="E104" s="5">
        <f>IFERROR(VLOOKUP(C104,'Gas Wpc'!$D$22:$V$204,19,FALSE),"NA")*(1+'Gas Calculations'!$C$18)</f>
        <v>279.32091299597391</v>
      </c>
      <c r="F104" s="25">
        <f>IFERROR(VLOOKUP(C104,'Gas Wpc'!$D$22:$W$204,20,FALSE),"NA")*MAX(0,E104-D104)</f>
        <v>197.8532546839769</v>
      </c>
      <c r="G104" s="43">
        <f t="shared" si="2"/>
        <v>0.85</v>
      </c>
      <c r="H104" s="43">
        <f>VLOOKUP(MONTH(C104),'Gas Calculations'!$A$39:'Gas Calculations'!$F$50,6,FALSE)</f>
        <v>0.81099999999999994</v>
      </c>
      <c r="I104" s="43">
        <f>'Gas Calculations'!$C$24</f>
        <v>0.3412</v>
      </c>
      <c r="J104" s="43">
        <f t="shared" si="3"/>
        <v>46.536316148915496</v>
      </c>
      <c r="K104" s="26"/>
    </row>
    <row r="105" spans="1:11" x14ac:dyDescent="0.35">
      <c r="A105" s="26"/>
      <c r="B105" s="16" t="s">
        <v>22</v>
      </c>
      <c r="C105" s="12">
        <v>44799</v>
      </c>
      <c r="D105" s="20">
        <f>IFERROR(VLOOKUP(C105,'Gas Wc'!$D$23:$W$1048576,20,FALSE),"NA")*(1+'Gas Calculations'!$C$18)</f>
        <v>50.774432645031666</v>
      </c>
      <c r="E105" s="5">
        <f>IFERROR(VLOOKUP(C105,'Gas Wpc'!$D$22:$V$204,19,FALSE),"NA")*(1+'Gas Calculations'!$C$18)</f>
        <v>279.32091299597391</v>
      </c>
      <c r="F105" s="25">
        <f>IFERROR(VLOOKUP(C105,'Gas Wpc'!$D$22:$W$204,20,FALSE),"NA")*MAX(0,E105-D105)</f>
        <v>197.85325468397687</v>
      </c>
      <c r="G105" s="43">
        <f t="shared" si="2"/>
        <v>0.85</v>
      </c>
      <c r="H105" s="43">
        <f>VLOOKUP(MONTH(C105),'Gas Calculations'!$A$39:'Gas Calculations'!$F$50,6,FALSE)</f>
        <v>0.81099999999999994</v>
      </c>
      <c r="I105" s="43">
        <f>'Gas Calculations'!$C$24</f>
        <v>0.3412</v>
      </c>
      <c r="J105" s="43">
        <f t="shared" si="3"/>
        <v>46.536316148915489</v>
      </c>
      <c r="K105" s="26"/>
    </row>
    <row r="106" spans="1:11" x14ac:dyDescent="0.35">
      <c r="A106" s="26"/>
      <c r="B106" s="16" t="s">
        <v>25</v>
      </c>
      <c r="C106" s="12">
        <v>44803</v>
      </c>
      <c r="D106" s="20">
        <f>IFERROR(VLOOKUP(C106,'Gas Wc'!$D$23:$W$1048576,20,FALSE),"NA")*(1+'Gas Calculations'!$C$18)</f>
        <v>46.007431646781114</v>
      </c>
      <c r="E106" s="5">
        <f>IFERROR(VLOOKUP(C106,'Gas Wpc'!$D$22:$V$204,19,FALSE),"NA")*(1+'Gas Calculations'!$C$18)</f>
        <v>281.86691488386111</v>
      </c>
      <c r="F106" s="25">
        <f>IFERROR(VLOOKUP(C106,'Gas Wpc'!$D$22:$W$204,20,FALSE),"NA")*MAX(0,E106-D106)</f>
        <v>204.18413941391844</v>
      </c>
      <c r="G106" s="43">
        <f t="shared" si="2"/>
        <v>0.85</v>
      </c>
      <c r="H106" s="43">
        <f>VLOOKUP(MONTH(C106),'Gas Calculations'!$A$39:'Gas Calculations'!$F$50,6,FALSE)</f>
        <v>0.81099999999999994</v>
      </c>
      <c r="I106" s="43">
        <f>'Gas Calculations'!$C$24</f>
        <v>0.3412</v>
      </c>
      <c r="J106" s="43">
        <f t="shared" si="3"/>
        <v>48.025379615500775</v>
      </c>
      <c r="K106" s="26"/>
    </row>
    <row r="107" spans="1:11" x14ac:dyDescent="0.35">
      <c r="A107" s="26"/>
      <c r="B107" s="16" t="s">
        <v>26</v>
      </c>
      <c r="C107" s="12">
        <v>44804</v>
      </c>
      <c r="D107" s="20">
        <f>IFERROR(VLOOKUP(C107,'Gas Wc'!$D$23:$W$1048576,20,FALSE),"NA")*(1+'Gas Calculations'!$C$18)</f>
        <v>46.007431646781114</v>
      </c>
      <c r="E107" s="5">
        <f>IFERROR(VLOOKUP(C107,'Gas Wpc'!$D$22:$V$204,19,FALSE),"NA")*(1+'Gas Calculations'!$C$18)</f>
        <v>281.86691488386111</v>
      </c>
      <c r="F107" s="25">
        <f>IFERROR(VLOOKUP(C107,'Gas Wpc'!$D$22:$W$204,20,FALSE),"NA")*MAX(0,E107-D107)</f>
        <v>204.18413941391844</v>
      </c>
      <c r="G107" s="43">
        <f t="shared" si="2"/>
        <v>0.85</v>
      </c>
      <c r="H107" s="43">
        <f>VLOOKUP(MONTH(C107),'Gas Calculations'!$A$39:'Gas Calculations'!$F$50,6,FALSE)</f>
        <v>0.81099999999999994</v>
      </c>
      <c r="I107" s="43">
        <f>'Gas Calculations'!$C$24</f>
        <v>0.3412</v>
      </c>
      <c r="J107" s="43">
        <f t="shared" si="3"/>
        <v>48.025379615500775</v>
      </c>
      <c r="K107" s="26"/>
    </row>
    <row r="108" spans="1:11" x14ac:dyDescent="0.35">
      <c r="A108" s="26"/>
      <c r="B108" s="16" t="s">
        <v>27</v>
      </c>
      <c r="C108" s="12">
        <v>44805</v>
      </c>
      <c r="D108" s="20">
        <f>IFERROR(VLOOKUP(C108,'Gas Wc'!$D$23:$W$1048576,20,FALSE),"NA")*(1+'Gas Calculations'!$C$18)</f>
        <v>46.007431646781114</v>
      </c>
      <c r="E108" s="5">
        <f>IFERROR(VLOOKUP(C108,'Gas Wpc'!$D$22:$V$204,19,FALSE),"NA")*(1+'Gas Calculations'!$C$18)</f>
        <v>281.86691488386111</v>
      </c>
      <c r="F108" s="25">
        <f>IFERROR(VLOOKUP(C108,'Gas Wpc'!$D$22:$W$204,20,FALSE),"NA")*MAX(0,E108-D108)</f>
        <v>204.18413941391844</v>
      </c>
      <c r="G108" s="43">
        <f t="shared" si="2"/>
        <v>0.85</v>
      </c>
      <c r="H108" s="43">
        <f>VLOOKUP(MONTH(C108),'Gas Calculations'!$A$39:'Gas Calculations'!$F$50,6,FALSE)</f>
        <v>0.87518000000000007</v>
      </c>
      <c r="I108" s="43">
        <f>'Gas Calculations'!$C$24</f>
        <v>0.3412</v>
      </c>
      <c r="J108" s="43">
        <f t="shared" si="3"/>
        <v>51.825957745861864</v>
      </c>
      <c r="K108" s="26"/>
    </row>
    <row r="109" spans="1:11" x14ac:dyDescent="0.35">
      <c r="A109" s="26"/>
      <c r="B109" s="16" t="s">
        <v>22</v>
      </c>
      <c r="C109" s="12">
        <v>44806</v>
      </c>
      <c r="D109" s="20">
        <f>IFERROR(VLOOKUP(C109,'Gas Wc'!$D$23:$W$1048576,20,FALSE),"NA")*(1+'Gas Calculations'!$C$18)</f>
        <v>46.007431646781114</v>
      </c>
      <c r="E109" s="5">
        <f>IFERROR(VLOOKUP(C109,'Gas Wpc'!$D$22:$V$204,19,FALSE),"NA")*(1+'Gas Calculations'!$C$18)</f>
        <v>281.86691488386111</v>
      </c>
      <c r="F109" s="25">
        <f>IFERROR(VLOOKUP(C109,'Gas Wpc'!$D$22:$W$204,20,FALSE),"NA")*MAX(0,E109-D109)</f>
        <v>204.18413941391844</v>
      </c>
      <c r="G109" s="43">
        <f t="shared" si="2"/>
        <v>0.85</v>
      </c>
      <c r="H109" s="43">
        <f>VLOOKUP(MONTH(C109),'Gas Calculations'!$A$39:'Gas Calculations'!$F$50,6,FALSE)</f>
        <v>0.87518000000000007</v>
      </c>
      <c r="I109" s="43">
        <f>'Gas Calculations'!$C$24</f>
        <v>0.3412</v>
      </c>
      <c r="J109" s="43">
        <f t="shared" si="3"/>
        <v>51.825957745861864</v>
      </c>
      <c r="K109" s="26"/>
    </row>
    <row r="110" spans="1:11" x14ac:dyDescent="0.35">
      <c r="A110" s="26"/>
      <c r="B110" s="16" t="s">
        <v>24</v>
      </c>
      <c r="C110" s="12">
        <v>44809</v>
      </c>
      <c r="D110" s="20">
        <f>IFERROR(VLOOKUP(C110,'Gas Wc'!$D$23:$W$1048576,20,FALSE),"NA")*(1+'Gas Calculations'!$C$18)</f>
        <v>42.087776399973514</v>
      </c>
      <c r="E110" s="5">
        <f>IFERROR(VLOOKUP(C110,'Gas Wpc'!$D$22:$V$204,19,FALSE),"NA")*(1+'Gas Calculations'!$C$18)</f>
        <v>284.37253842245599</v>
      </c>
      <c r="F110" s="25">
        <f>IFERROR(VLOOKUP(C110,'Gas Wpc'!$D$22:$W$204,20,FALSE),"NA")*MAX(0,E110-D110)</f>
        <v>209.74651918888463</v>
      </c>
      <c r="G110" s="43">
        <f t="shared" si="2"/>
        <v>0.85</v>
      </c>
      <c r="H110" s="43">
        <f>VLOOKUP(MONTH(C110),'Gas Calculations'!$A$39:'Gas Calculations'!$F$50,6,FALSE)</f>
        <v>0.87518000000000007</v>
      </c>
      <c r="I110" s="43">
        <f>'Gas Calculations'!$C$24</f>
        <v>0.3412</v>
      </c>
      <c r="J110" s="43">
        <f t="shared" si="3"/>
        <v>53.237799331654415</v>
      </c>
      <c r="K110" s="26"/>
    </row>
    <row r="111" spans="1:11" x14ac:dyDescent="0.35">
      <c r="A111" s="26"/>
      <c r="B111" s="16" t="s">
        <v>25</v>
      </c>
      <c r="C111" s="12">
        <v>44810</v>
      </c>
      <c r="D111" s="20">
        <f>IFERROR(VLOOKUP(C111,'Gas Wc'!$D$23:$W$1048576,20,FALSE),"NA")*(1+'Gas Calculations'!$C$18)</f>
        <v>42.087776399973514</v>
      </c>
      <c r="E111" s="5">
        <f>IFERROR(VLOOKUP(C111,'Gas Wpc'!$D$22:$V$204,19,FALSE),"NA")*(1+'Gas Calculations'!$C$18)</f>
        <v>284.37253842245599</v>
      </c>
      <c r="F111" s="25">
        <f>IFERROR(VLOOKUP(C111,'Gas Wpc'!$D$22:$W$204,20,FALSE),"NA")*MAX(0,E111-D111)</f>
        <v>209.74651918888463</v>
      </c>
      <c r="G111" s="43">
        <f t="shared" si="2"/>
        <v>0.85</v>
      </c>
      <c r="H111" s="43">
        <f>VLOOKUP(MONTH(C111),'Gas Calculations'!$A$39:'Gas Calculations'!$F$50,6,FALSE)</f>
        <v>0.87518000000000007</v>
      </c>
      <c r="I111" s="43">
        <f>'Gas Calculations'!$C$24</f>
        <v>0.3412</v>
      </c>
      <c r="J111" s="43">
        <f t="shared" si="3"/>
        <v>53.237799331654415</v>
      </c>
      <c r="K111" s="26"/>
    </row>
    <row r="112" spans="1:11" x14ac:dyDescent="0.35">
      <c r="A112" s="26"/>
      <c r="B112" s="16" t="s">
        <v>26</v>
      </c>
      <c r="C112" s="12">
        <v>44811</v>
      </c>
      <c r="D112" s="20">
        <f>IFERROR(VLOOKUP(C112,'Gas Wc'!$D$23:$W$1048576,20,FALSE),"NA")*(1+'Gas Calculations'!$C$18)</f>
        <v>42.087776399973514</v>
      </c>
      <c r="E112" s="5">
        <f>IFERROR(VLOOKUP(C112,'Gas Wpc'!$D$22:$V$204,19,FALSE),"NA")*(1+'Gas Calculations'!$C$18)</f>
        <v>284.37253842245599</v>
      </c>
      <c r="F112" s="25">
        <f>IFERROR(VLOOKUP(C112,'Gas Wpc'!$D$22:$W$204,20,FALSE),"NA")*MAX(0,E112-D112)</f>
        <v>209.74651918888463</v>
      </c>
      <c r="G112" s="43">
        <f t="shared" si="2"/>
        <v>0.85</v>
      </c>
      <c r="H112" s="43">
        <f>VLOOKUP(MONTH(C112),'Gas Calculations'!$A$39:'Gas Calculations'!$F$50,6,FALSE)</f>
        <v>0.87518000000000007</v>
      </c>
      <c r="I112" s="43">
        <f>'Gas Calculations'!$C$24</f>
        <v>0.3412</v>
      </c>
      <c r="J112" s="43">
        <f t="shared" si="3"/>
        <v>53.237799331654415</v>
      </c>
      <c r="K112" s="26"/>
    </row>
    <row r="113" spans="1:11" x14ac:dyDescent="0.35">
      <c r="A113" s="26"/>
      <c r="B113" s="16" t="s">
        <v>27</v>
      </c>
      <c r="C113" s="12">
        <v>44812</v>
      </c>
      <c r="D113" s="20">
        <f>IFERROR(VLOOKUP(C113,'Gas Wc'!$D$23:$W$1048576,20,FALSE),"NA")*(1+'Gas Calculations'!$C$18)</f>
        <v>42.087776399973514</v>
      </c>
      <c r="E113" s="5">
        <f>IFERROR(VLOOKUP(C113,'Gas Wpc'!$D$22:$V$204,19,FALSE),"NA")*(1+'Gas Calculations'!$C$18)</f>
        <v>284.37253842245599</v>
      </c>
      <c r="F113" s="25">
        <f>IFERROR(VLOOKUP(C113,'Gas Wpc'!$D$22:$W$204,20,FALSE),"NA")*MAX(0,E113-D113)</f>
        <v>209.74651918888463</v>
      </c>
      <c r="G113" s="43">
        <f t="shared" si="2"/>
        <v>0.85</v>
      </c>
      <c r="H113" s="43">
        <f>VLOOKUP(MONTH(C113),'Gas Calculations'!$A$39:'Gas Calculations'!$F$50,6,FALSE)</f>
        <v>0.87518000000000007</v>
      </c>
      <c r="I113" s="43">
        <f>'Gas Calculations'!$C$24</f>
        <v>0.3412</v>
      </c>
      <c r="J113" s="43">
        <f t="shared" si="3"/>
        <v>53.237799331654415</v>
      </c>
      <c r="K113" s="26"/>
    </row>
    <row r="114" spans="1:11" x14ac:dyDescent="0.35">
      <c r="A114" s="26"/>
      <c r="B114" s="16" t="s">
        <v>22</v>
      </c>
      <c r="C114" s="12">
        <v>44813</v>
      </c>
      <c r="D114" s="20">
        <f>IFERROR(VLOOKUP(C114,'Gas Wc'!$D$23:$W$1048576,20,FALSE),"NA")*(1+'Gas Calculations'!$C$18)</f>
        <v>42.087776399973514</v>
      </c>
      <c r="E114" s="5">
        <f>IFERROR(VLOOKUP(C114,'Gas Wpc'!$D$22:$V$204,19,FALSE),"NA")*(1+'Gas Calculations'!$C$18)</f>
        <v>284.37253842245599</v>
      </c>
      <c r="F114" s="25">
        <f>IFERROR(VLOOKUP(C114,'Gas Wpc'!$D$22:$W$204,20,FALSE),"NA")*MAX(0,E114-D114)</f>
        <v>209.74651918888463</v>
      </c>
      <c r="G114" s="43">
        <f t="shared" si="2"/>
        <v>0.85</v>
      </c>
      <c r="H114" s="43">
        <f>VLOOKUP(MONTH(C114),'Gas Calculations'!$A$39:'Gas Calculations'!$F$50,6,FALSE)</f>
        <v>0.87518000000000007</v>
      </c>
      <c r="I114" s="43">
        <f>'Gas Calculations'!$C$24</f>
        <v>0.3412</v>
      </c>
      <c r="J114" s="43">
        <f t="shared" si="3"/>
        <v>53.237799331654415</v>
      </c>
      <c r="K114" s="26"/>
    </row>
    <row r="115" spans="1:11" x14ac:dyDescent="0.35">
      <c r="A115" s="26"/>
      <c r="B115" s="16" t="s">
        <v>24</v>
      </c>
      <c r="C115" s="12">
        <v>44816</v>
      </c>
      <c r="D115" s="20">
        <f>IFERROR(VLOOKUP(C115,'Gas Wc'!$D$23:$W$1048576,20,FALSE),"NA")*(1+'Gas Calculations'!$C$18)</f>
        <v>38.84980238548318</v>
      </c>
      <c r="E115" s="5">
        <f>IFERROR(VLOOKUP(C115,'Gas Wpc'!$D$22:$V$204,19,FALSE),"NA")*(1+'Gas Calculations'!$C$18)</f>
        <v>285.87108838635555</v>
      </c>
      <c r="F115" s="25">
        <f>IFERROR(VLOOKUP(C115,'Gas Wpc'!$D$22:$W$204,20,FALSE),"NA")*MAX(0,E115-D115)</f>
        <v>213.84693974042466</v>
      </c>
      <c r="G115" s="43">
        <f t="shared" si="2"/>
        <v>0.85</v>
      </c>
      <c r="H115" s="43">
        <f>VLOOKUP(MONTH(C115),'Gas Calculations'!$A$39:'Gas Calculations'!$F$50,6,FALSE)</f>
        <v>0.87518000000000007</v>
      </c>
      <c r="I115" s="43">
        <f>'Gas Calculations'!$C$24</f>
        <v>0.3412</v>
      </c>
      <c r="J115" s="43">
        <f t="shared" si="3"/>
        <v>54.278566860681643</v>
      </c>
      <c r="K115" s="26"/>
    </row>
    <row r="116" spans="1:11" x14ac:dyDescent="0.35">
      <c r="A116" s="26"/>
      <c r="B116" s="16" t="s">
        <v>25</v>
      </c>
      <c r="C116" s="12">
        <v>44817</v>
      </c>
      <c r="D116" s="20">
        <f>IFERROR(VLOOKUP(C116,'Gas Wc'!$D$23:$W$1048576,20,FALSE),"NA")*(1+'Gas Calculations'!$C$18)</f>
        <v>38.84980238548318</v>
      </c>
      <c r="E116" s="5">
        <f>IFERROR(VLOOKUP(C116,'Gas Wpc'!$D$22:$V$204,19,FALSE),"NA")*(1+'Gas Calculations'!$C$18)</f>
        <v>285.87108838635555</v>
      </c>
      <c r="F116" s="25">
        <f>IFERROR(VLOOKUP(C116,'Gas Wpc'!$D$22:$W$204,20,FALSE),"NA")*MAX(0,E116-D116)</f>
        <v>213.84693974042466</v>
      </c>
      <c r="G116" s="43">
        <f t="shared" si="2"/>
        <v>0.85</v>
      </c>
      <c r="H116" s="43">
        <f>VLOOKUP(MONTH(C116),'Gas Calculations'!$A$39:'Gas Calculations'!$F$50,6,FALSE)</f>
        <v>0.87518000000000007</v>
      </c>
      <c r="I116" s="43">
        <f>'Gas Calculations'!$C$24</f>
        <v>0.3412</v>
      </c>
      <c r="J116" s="43">
        <f t="shared" si="3"/>
        <v>54.278566860681643</v>
      </c>
      <c r="K116" s="26"/>
    </row>
    <row r="117" spans="1:11" x14ac:dyDescent="0.35">
      <c r="A117" s="26"/>
      <c r="B117" s="16" t="s">
        <v>26</v>
      </c>
      <c r="C117" s="12">
        <v>44818</v>
      </c>
      <c r="D117" s="20">
        <f>IFERROR(VLOOKUP(C117,'Gas Wc'!$D$23:$W$1048576,20,FALSE),"NA")*(1+'Gas Calculations'!$C$18)</f>
        <v>38.84980238548318</v>
      </c>
      <c r="E117" s="5">
        <f>IFERROR(VLOOKUP(C117,'Gas Wpc'!$D$22:$V$204,19,FALSE),"NA")*(1+'Gas Calculations'!$C$18)</f>
        <v>285.87108838635555</v>
      </c>
      <c r="F117" s="25">
        <f>IFERROR(VLOOKUP(C117,'Gas Wpc'!$D$22:$W$204,20,FALSE),"NA")*MAX(0,E117-D117)</f>
        <v>213.84693974042466</v>
      </c>
      <c r="G117" s="43">
        <f t="shared" si="2"/>
        <v>0.85</v>
      </c>
      <c r="H117" s="43">
        <f>VLOOKUP(MONTH(C117),'Gas Calculations'!$A$39:'Gas Calculations'!$F$50,6,FALSE)</f>
        <v>0.87518000000000007</v>
      </c>
      <c r="I117" s="43">
        <f>'Gas Calculations'!$C$24</f>
        <v>0.3412</v>
      </c>
      <c r="J117" s="43">
        <f t="shared" si="3"/>
        <v>54.278566860681643</v>
      </c>
      <c r="K117" s="26"/>
    </row>
    <row r="118" spans="1:11" x14ac:dyDescent="0.35">
      <c r="A118" s="26"/>
      <c r="B118" s="16" t="s">
        <v>27</v>
      </c>
      <c r="C118" s="12">
        <v>44819</v>
      </c>
      <c r="D118" s="20">
        <f>IFERROR(VLOOKUP(C118,'Gas Wc'!$D$23:$W$1048576,20,FALSE),"NA")*(1+'Gas Calculations'!$C$18)</f>
        <v>38.84980238548318</v>
      </c>
      <c r="E118" s="5">
        <f>IFERROR(VLOOKUP(C118,'Gas Wpc'!$D$22:$V$204,19,FALSE),"NA")*(1+'Gas Calculations'!$C$18)</f>
        <v>285.87108838635555</v>
      </c>
      <c r="F118" s="25">
        <f>IFERROR(VLOOKUP(C118,'Gas Wpc'!$D$22:$W$204,20,FALSE),"NA")*MAX(0,E118-D118)</f>
        <v>213.84693974042466</v>
      </c>
      <c r="G118" s="43">
        <f t="shared" si="2"/>
        <v>0.85</v>
      </c>
      <c r="H118" s="43">
        <f>VLOOKUP(MONTH(C118),'Gas Calculations'!$A$39:'Gas Calculations'!$F$50,6,FALSE)</f>
        <v>0.87518000000000007</v>
      </c>
      <c r="I118" s="43">
        <f>'Gas Calculations'!$C$24</f>
        <v>0.3412</v>
      </c>
      <c r="J118" s="43">
        <f t="shared" si="3"/>
        <v>54.278566860681643</v>
      </c>
      <c r="K118" s="26"/>
    </row>
    <row r="119" spans="1:11" x14ac:dyDescent="0.35">
      <c r="A119" s="26"/>
      <c r="B119" s="16" t="s">
        <v>22</v>
      </c>
      <c r="C119" s="12">
        <v>44820</v>
      </c>
      <c r="D119" s="20">
        <f>IFERROR(VLOOKUP(C119,'Gas Wc'!$D$23:$W$1048576,20,FALSE),"NA")*(1+'Gas Calculations'!$C$18)</f>
        <v>38.84980238548318</v>
      </c>
      <c r="E119" s="5">
        <f>IFERROR(VLOOKUP(C119,'Gas Wpc'!$D$22:$V$204,19,FALSE),"NA")*(1+'Gas Calculations'!$C$18)</f>
        <v>285.87108838635555</v>
      </c>
      <c r="F119" s="25">
        <f>IFERROR(VLOOKUP(C119,'Gas Wpc'!$D$22:$W$204,20,FALSE),"NA")*MAX(0,E119-D119)</f>
        <v>213.84693974042466</v>
      </c>
      <c r="G119" s="43">
        <f t="shared" si="2"/>
        <v>0.85</v>
      </c>
      <c r="H119" s="43">
        <f>VLOOKUP(MONTH(C119),'Gas Calculations'!$A$39:'Gas Calculations'!$F$50,6,FALSE)</f>
        <v>0.87518000000000007</v>
      </c>
      <c r="I119" s="43">
        <f>'Gas Calculations'!$C$24</f>
        <v>0.3412</v>
      </c>
      <c r="J119" s="43">
        <f t="shared" si="3"/>
        <v>54.278566860681643</v>
      </c>
      <c r="K119" s="26"/>
    </row>
    <row r="120" spans="1:11" x14ac:dyDescent="0.35">
      <c r="A120" s="26"/>
      <c r="B120" s="16" t="s">
        <v>24</v>
      </c>
      <c r="C120" s="12">
        <v>44823</v>
      </c>
      <c r="D120" s="20">
        <f>IFERROR(VLOOKUP(C120,'Gas Wc'!$D$23:$W$1048576,20,FALSE),"NA")*(1+'Gas Calculations'!$C$18)</f>
        <v>35.593941990330613</v>
      </c>
      <c r="E120" s="5">
        <f>IFERROR(VLOOKUP(C120,'Gas Wpc'!$D$22:$V$204,19,FALSE),"NA")*(1+'Gas Calculations'!$C$18)</f>
        <v>287.45484317590109</v>
      </c>
      <c r="F120" s="25">
        <f>IFERROR(VLOOKUP(C120,'Gas Wpc'!$D$22:$W$204,20,FALSE),"NA")*MAX(0,E120-D120)</f>
        <v>218.03660660486369</v>
      </c>
      <c r="G120" s="43">
        <f t="shared" si="2"/>
        <v>0.85</v>
      </c>
      <c r="H120" s="43">
        <f>VLOOKUP(MONTH(C120),'Gas Calculations'!$A$39:'Gas Calculations'!$F$50,6,FALSE)</f>
        <v>0.87518000000000007</v>
      </c>
      <c r="I120" s="43">
        <f>'Gas Calculations'!$C$24</f>
        <v>0.3412</v>
      </c>
      <c r="J120" s="43">
        <f t="shared" si="3"/>
        <v>55.341986862396304</v>
      </c>
      <c r="K120" s="26"/>
    </row>
    <row r="121" spans="1:11" x14ac:dyDescent="0.35">
      <c r="A121" s="26"/>
      <c r="B121" s="16" t="s">
        <v>25</v>
      </c>
      <c r="C121" s="12">
        <v>44824</v>
      </c>
      <c r="D121" s="20">
        <f>IFERROR(VLOOKUP(C121,'Gas Wc'!$D$23:$W$1048576,20,FALSE),"NA")*(1+'Gas Calculations'!$C$18)</f>
        <v>35.593941990330613</v>
      </c>
      <c r="E121" s="5">
        <f>IFERROR(VLOOKUP(C121,'Gas Wpc'!$D$22:$V$204,19,FALSE),"NA")*(1+'Gas Calculations'!$C$18)</f>
        <v>287.45484317590109</v>
      </c>
      <c r="F121" s="25">
        <f>IFERROR(VLOOKUP(C121,'Gas Wpc'!$D$22:$W$204,20,FALSE),"NA")*MAX(0,E121-D121)</f>
        <v>218.03660660486369</v>
      </c>
      <c r="G121" s="43">
        <f t="shared" si="2"/>
        <v>0.85</v>
      </c>
      <c r="H121" s="43">
        <f>VLOOKUP(MONTH(C121),'Gas Calculations'!$A$39:'Gas Calculations'!$F$50,6,FALSE)</f>
        <v>0.87518000000000007</v>
      </c>
      <c r="I121" s="43">
        <f>'Gas Calculations'!$C$24</f>
        <v>0.3412</v>
      </c>
      <c r="J121" s="43">
        <f t="shared" si="3"/>
        <v>55.341986862396304</v>
      </c>
      <c r="K121" s="26"/>
    </row>
    <row r="122" spans="1:11" x14ac:dyDescent="0.35">
      <c r="A122" s="26"/>
      <c r="B122" s="16" t="s">
        <v>26</v>
      </c>
      <c r="C122" s="12">
        <v>44825</v>
      </c>
      <c r="D122" s="20">
        <f>IFERROR(VLOOKUP(C122,'Gas Wc'!$D$23:$W$1048576,20,FALSE),"NA")*(1+'Gas Calculations'!$C$18)</f>
        <v>35.593941990330613</v>
      </c>
      <c r="E122" s="5">
        <f>IFERROR(VLOOKUP(C122,'Gas Wpc'!$D$22:$V$204,19,FALSE),"NA")*(1+'Gas Calculations'!$C$18)</f>
        <v>287.45484317590109</v>
      </c>
      <c r="F122" s="25">
        <f>IFERROR(VLOOKUP(C122,'Gas Wpc'!$D$22:$W$204,20,FALSE),"NA")*MAX(0,E122-D122)</f>
        <v>218.03660660486369</v>
      </c>
      <c r="G122" s="43">
        <f t="shared" si="2"/>
        <v>0.85</v>
      </c>
      <c r="H122" s="43">
        <f>VLOOKUP(MONTH(C122),'Gas Calculations'!$A$39:'Gas Calculations'!$F$50,6,FALSE)</f>
        <v>0.87518000000000007</v>
      </c>
      <c r="I122" s="43">
        <f>'Gas Calculations'!$C$24</f>
        <v>0.3412</v>
      </c>
      <c r="J122" s="43">
        <f t="shared" si="3"/>
        <v>55.341986862396304</v>
      </c>
      <c r="K122" s="26"/>
    </row>
    <row r="123" spans="1:11" x14ac:dyDescent="0.35">
      <c r="A123" s="26"/>
      <c r="B123" s="16" t="s">
        <v>27</v>
      </c>
      <c r="C123" s="12">
        <v>44826</v>
      </c>
      <c r="D123" s="20">
        <f>IFERROR(VLOOKUP(C123,'Gas Wc'!$D$23:$W$1048576,20,FALSE),"NA")*(1+'Gas Calculations'!$C$18)</f>
        <v>35.593941990330613</v>
      </c>
      <c r="E123" s="5">
        <f>IFERROR(VLOOKUP(C123,'Gas Wpc'!$D$22:$V$204,19,FALSE),"NA")*(1+'Gas Calculations'!$C$18)</f>
        <v>287.45484317590109</v>
      </c>
      <c r="F123" s="25">
        <f>IFERROR(VLOOKUP(C123,'Gas Wpc'!$D$22:$W$204,20,FALSE),"NA")*MAX(0,E123-D123)</f>
        <v>218.03660660486369</v>
      </c>
      <c r="G123" s="43">
        <f t="shared" si="2"/>
        <v>0.85</v>
      </c>
      <c r="H123" s="43">
        <f>VLOOKUP(MONTH(C123),'Gas Calculations'!$A$39:'Gas Calculations'!$F$50,6,FALSE)</f>
        <v>0.87518000000000007</v>
      </c>
      <c r="I123" s="43">
        <f>'Gas Calculations'!$C$24</f>
        <v>0.3412</v>
      </c>
      <c r="J123" s="43">
        <f t="shared" si="3"/>
        <v>55.341986862396304</v>
      </c>
      <c r="K123" s="26"/>
    </row>
    <row r="124" spans="1:11" x14ac:dyDescent="0.35">
      <c r="A124" s="26"/>
      <c r="B124" s="16" t="s">
        <v>22</v>
      </c>
      <c r="C124" s="12">
        <v>44827</v>
      </c>
      <c r="D124" s="20">
        <f>IFERROR(VLOOKUP(C124,'Gas Wc'!$D$23:$W$1048576,20,FALSE),"NA")*(1+'Gas Calculations'!$C$18)</f>
        <v>35.593941990330613</v>
      </c>
      <c r="E124" s="5">
        <f>IFERROR(VLOOKUP(C124,'Gas Wpc'!$D$22:$V$204,19,FALSE),"NA")*(1+'Gas Calculations'!$C$18)</f>
        <v>287.45484317590109</v>
      </c>
      <c r="F124" s="25">
        <f>IFERROR(VLOOKUP(C124,'Gas Wpc'!$D$22:$W$204,20,FALSE),"NA")*MAX(0,E124-D124)</f>
        <v>218.03660660486369</v>
      </c>
      <c r="G124" s="43">
        <f t="shared" si="2"/>
        <v>0.85</v>
      </c>
      <c r="H124" s="43">
        <f>VLOOKUP(MONTH(C124),'Gas Calculations'!$A$39:'Gas Calculations'!$F$50,6,FALSE)</f>
        <v>0.87518000000000007</v>
      </c>
      <c r="I124" s="43">
        <f>'Gas Calculations'!$C$24</f>
        <v>0.3412</v>
      </c>
      <c r="J124" s="43">
        <f t="shared" si="3"/>
        <v>55.341986862396304</v>
      </c>
      <c r="K124" s="26"/>
    </row>
    <row r="125" spans="1:11" x14ac:dyDescent="0.35">
      <c r="A125" s="26"/>
      <c r="B125" s="16" t="s">
        <v>24</v>
      </c>
      <c r="C125" s="12">
        <v>44830</v>
      </c>
      <c r="D125" s="20">
        <f>IFERROR(VLOOKUP(C125,'Gas Wc'!$D$23:$W$1048576,20,FALSE),"NA")*(1+'Gas Calculations'!$C$18)</f>
        <v>46.71342882448954</v>
      </c>
      <c r="E125" s="5">
        <f>IFERROR(VLOOKUP(C125,'Gas Wpc'!$D$22:$V$204,19,FALSE),"NA")*(1+'Gas Calculations'!$C$18)</f>
        <v>289.03859796544668</v>
      </c>
      <c r="F125" s="25">
        <f>IFERROR(VLOOKUP(C125,'Gas Wpc'!$D$22:$W$204,20,FALSE),"NA")*MAX(0,E125-D125)</f>
        <v>209.78149973153106</v>
      </c>
      <c r="G125" s="43">
        <f t="shared" si="2"/>
        <v>0.85</v>
      </c>
      <c r="H125" s="43">
        <f>VLOOKUP(MONTH(C125),'Gas Calculations'!$A$39:'Gas Calculations'!$F$50,6,FALSE)</f>
        <v>0.87518000000000007</v>
      </c>
      <c r="I125" s="43">
        <f>'Gas Calculations'!$C$24</f>
        <v>0.3412</v>
      </c>
      <c r="J125" s="43">
        <f t="shared" si="3"/>
        <v>53.246678082620697</v>
      </c>
      <c r="K125" s="26"/>
    </row>
    <row r="126" spans="1:11" x14ac:dyDescent="0.35">
      <c r="A126" s="26"/>
      <c r="B126" s="16" t="s">
        <v>25</v>
      </c>
      <c r="C126" s="12">
        <v>44831</v>
      </c>
      <c r="D126" s="20">
        <f>IFERROR(VLOOKUP(C126,'Gas Wc'!$D$23:$W$1048576,20,FALSE),"NA")*(1+'Gas Calculations'!$C$18)</f>
        <v>46.71342882448954</v>
      </c>
      <c r="E126" s="5">
        <f>IFERROR(VLOOKUP(C126,'Gas Wpc'!$D$22:$V$204,19,FALSE),"NA")*(1+'Gas Calculations'!$C$18)</f>
        <v>289.03859796544668</v>
      </c>
      <c r="F126" s="25">
        <f>IFERROR(VLOOKUP(C126,'Gas Wpc'!$D$22:$W$204,20,FALSE),"NA")*MAX(0,E126-D126)</f>
        <v>209.78149973153106</v>
      </c>
      <c r="G126" s="43">
        <f t="shared" si="2"/>
        <v>0.85</v>
      </c>
      <c r="H126" s="43">
        <f>VLOOKUP(MONTH(C126),'Gas Calculations'!$A$39:'Gas Calculations'!$F$50,6,FALSE)</f>
        <v>0.87518000000000007</v>
      </c>
      <c r="I126" s="43">
        <f>'Gas Calculations'!$C$24</f>
        <v>0.3412</v>
      </c>
      <c r="J126" s="43">
        <f t="shared" si="3"/>
        <v>53.246678082620697</v>
      </c>
      <c r="K126" s="26"/>
    </row>
    <row r="127" spans="1:11" x14ac:dyDescent="0.35">
      <c r="A127" s="26"/>
      <c r="B127" s="16" t="s">
        <v>26</v>
      </c>
      <c r="C127" s="12">
        <v>44832</v>
      </c>
      <c r="D127" s="20">
        <f>IFERROR(VLOOKUP(C127,'Gas Wc'!$D$23:$W$1048576,20,FALSE),"NA")*(1+'Gas Calculations'!$C$18)</f>
        <v>46.71342882448954</v>
      </c>
      <c r="E127" s="5">
        <f>IFERROR(VLOOKUP(C127,'Gas Wpc'!$D$22:$V$204,19,FALSE),"NA")*(1+'Gas Calculations'!$C$18)</f>
        <v>289.03859796544668</v>
      </c>
      <c r="F127" s="25">
        <f>IFERROR(VLOOKUP(C127,'Gas Wpc'!$D$22:$W$204,20,FALSE),"NA")*MAX(0,E127-D127)</f>
        <v>209.78149973153108</v>
      </c>
      <c r="G127" s="43">
        <f t="shared" si="2"/>
        <v>0.85</v>
      </c>
      <c r="H127" s="43">
        <f>VLOOKUP(MONTH(C127),'Gas Calculations'!$A$39:'Gas Calculations'!$F$50,6,FALSE)</f>
        <v>0.87518000000000007</v>
      </c>
      <c r="I127" s="43">
        <f>'Gas Calculations'!$C$24</f>
        <v>0.3412</v>
      </c>
      <c r="J127" s="43">
        <f t="shared" si="3"/>
        <v>53.246678082620704</v>
      </c>
      <c r="K127" s="26"/>
    </row>
    <row r="128" spans="1:11" x14ac:dyDescent="0.35">
      <c r="A128" s="26"/>
      <c r="B128" s="16" t="s">
        <v>27</v>
      </c>
      <c r="C128" s="12">
        <v>44833</v>
      </c>
      <c r="D128" s="20">
        <f>IFERROR(VLOOKUP(C128,'Gas Wc'!$D$23:$W$1048576,20,FALSE),"NA")*(1+'Gas Calculations'!$C$18)</f>
        <v>46.71342882448954</v>
      </c>
      <c r="E128" s="5">
        <f>IFERROR(VLOOKUP(C128,'Gas Wpc'!$D$22:$V$204,19,FALSE),"NA")*(1+'Gas Calculations'!$C$18)</f>
        <v>289.03859796544668</v>
      </c>
      <c r="F128" s="25">
        <f>IFERROR(VLOOKUP(C128,'Gas Wpc'!$D$22:$W$204,20,FALSE),"NA")*MAX(0,E128-D128)</f>
        <v>209.78149973153108</v>
      </c>
      <c r="G128" s="43">
        <f t="shared" si="2"/>
        <v>0.85</v>
      </c>
      <c r="H128" s="43">
        <f>VLOOKUP(MONTH(C128),'Gas Calculations'!$A$39:'Gas Calculations'!$F$50,6,FALSE)</f>
        <v>0.87518000000000007</v>
      </c>
      <c r="I128" s="43">
        <f>'Gas Calculations'!$C$24</f>
        <v>0.3412</v>
      </c>
      <c r="J128" s="43">
        <f t="shared" si="3"/>
        <v>53.246678082620704</v>
      </c>
      <c r="K128" s="26"/>
    </row>
    <row r="129" spans="1:11" x14ac:dyDescent="0.35">
      <c r="A129" s="26"/>
      <c r="B129" s="16" t="s">
        <v>22</v>
      </c>
      <c r="C129" s="12">
        <v>44834</v>
      </c>
      <c r="D129" s="20">
        <f>IFERROR(VLOOKUP(C129,'Gas Wc'!$D$23:$W$1048576,20,FALSE),"NA")*(1+'Gas Calculations'!$C$18)</f>
        <v>46.71342882448954</v>
      </c>
      <c r="E129" s="5">
        <f>IFERROR(VLOOKUP(C129,'Gas Wpc'!$D$22:$V$204,19,FALSE),"NA")*(1+'Gas Calculations'!$C$18)</f>
        <v>289.03859796544668</v>
      </c>
      <c r="F129" s="25">
        <f>IFERROR(VLOOKUP(C129,'Gas Wpc'!$D$22:$W$204,20,FALSE),"NA")*MAX(0,E129-D129)</f>
        <v>209.78149973153108</v>
      </c>
      <c r="G129" s="43">
        <f t="shared" si="2"/>
        <v>0.85</v>
      </c>
      <c r="H129" s="43">
        <f>VLOOKUP(MONTH(C129),'Gas Calculations'!$A$39:'Gas Calculations'!$F$50,6,FALSE)</f>
        <v>0.87518000000000007</v>
      </c>
      <c r="I129" s="43">
        <f>'Gas Calculations'!$C$24</f>
        <v>0.3412</v>
      </c>
      <c r="J129" s="43">
        <f t="shared" si="3"/>
        <v>53.246678082620704</v>
      </c>
      <c r="K129" s="26"/>
    </row>
    <row r="130" spans="1:11" hidden="1" x14ac:dyDescent="0.35">
      <c r="E130" s="5"/>
      <c r="F130" s="43"/>
    </row>
    <row r="131" spans="1:11" hidden="1" x14ac:dyDescent="0.35">
      <c r="E131" s="5"/>
      <c r="F131" s="43"/>
    </row>
    <row r="132" spans="1:11" hidden="1" x14ac:dyDescent="0.35">
      <c r="E132" s="5"/>
      <c r="F132" s="43"/>
    </row>
    <row r="133" spans="1:11" hidden="1" x14ac:dyDescent="0.35">
      <c r="E133" s="5"/>
      <c r="F133" s="43"/>
    </row>
    <row r="134" spans="1:11" hidden="1" x14ac:dyDescent="0.35">
      <c r="E134" s="5"/>
      <c r="F134" s="43"/>
    </row>
    <row r="135" spans="1:11" hidden="1" x14ac:dyDescent="0.35">
      <c r="E135" s="5"/>
      <c r="F135" s="43"/>
    </row>
    <row r="136" spans="1:11" hidden="1" x14ac:dyDescent="0.35">
      <c r="E136" s="5"/>
      <c r="F136" s="43"/>
    </row>
    <row r="137" spans="1:11" hidden="1" x14ac:dyDescent="0.35">
      <c r="E137" s="5"/>
      <c r="F137" s="43"/>
    </row>
    <row r="138" spans="1:11" hidden="1" x14ac:dyDescent="0.35">
      <c r="E138" s="5"/>
      <c r="F138" s="43"/>
    </row>
    <row r="139" spans="1:11" hidden="1" x14ac:dyDescent="0.35">
      <c r="E139" s="5"/>
      <c r="F139" s="43"/>
    </row>
    <row r="140" spans="1:11" hidden="1" x14ac:dyDescent="0.35">
      <c r="E140" s="5"/>
      <c r="F140" s="43"/>
    </row>
    <row r="141" spans="1:11" hidden="1" x14ac:dyDescent="0.35">
      <c r="E141" s="5"/>
      <c r="F141" s="43"/>
    </row>
    <row r="142" spans="1:11" hidden="1" x14ac:dyDescent="0.35">
      <c r="E142" s="5"/>
      <c r="F142" s="43"/>
    </row>
    <row r="143" spans="1:11" hidden="1" x14ac:dyDescent="0.35">
      <c r="E143" s="5"/>
      <c r="F143" s="43"/>
    </row>
    <row r="144" spans="1:11" hidden="1" x14ac:dyDescent="0.35">
      <c r="E144" s="5"/>
      <c r="F144" s="43"/>
    </row>
    <row r="145" spans="5:6" hidden="1" x14ac:dyDescent="0.35">
      <c r="E145" s="5"/>
      <c r="F145" s="43"/>
    </row>
    <row r="146" spans="5:6" hidden="1" x14ac:dyDescent="0.35">
      <c r="E146" s="5"/>
      <c r="F146" s="43"/>
    </row>
    <row r="147" spans="5:6" hidden="1" x14ac:dyDescent="0.35">
      <c r="E147" s="5"/>
      <c r="F147" s="43"/>
    </row>
    <row r="148" spans="5:6" hidden="1" x14ac:dyDescent="0.35">
      <c r="E148" s="5"/>
      <c r="F148" s="43"/>
    </row>
    <row r="149" spans="5:6" hidden="1" x14ac:dyDescent="0.35">
      <c r="E149" s="5"/>
      <c r="F149" s="43"/>
    </row>
    <row r="150" spans="5:6" hidden="1" x14ac:dyDescent="0.35">
      <c r="E150" s="5"/>
      <c r="F150" s="43"/>
    </row>
    <row r="151" spans="5:6" hidden="1" x14ac:dyDescent="0.35">
      <c r="E151" s="5"/>
      <c r="F151" s="43"/>
    </row>
    <row r="152" spans="5:6" hidden="1" x14ac:dyDescent="0.35">
      <c r="E152" s="5"/>
      <c r="F152" s="43"/>
    </row>
    <row r="153" spans="5:6" hidden="1" x14ac:dyDescent="0.35">
      <c r="E153" s="5"/>
      <c r="F153" s="43"/>
    </row>
    <row r="154" spans="5:6" hidden="1" x14ac:dyDescent="0.35">
      <c r="E154" s="5"/>
      <c r="F154" s="43"/>
    </row>
    <row r="155" spans="5:6" hidden="1" x14ac:dyDescent="0.35">
      <c r="E155" s="5"/>
      <c r="F155" s="43"/>
    </row>
    <row r="156" spans="5:6" hidden="1" x14ac:dyDescent="0.35">
      <c r="E156" s="5"/>
      <c r="F156" s="43"/>
    </row>
    <row r="157" spans="5:6" hidden="1" x14ac:dyDescent="0.35">
      <c r="E157" s="5"/>
      <c r="F157" s="43"/>
    </row>
    <row r="158" spans="5:6" hidden="1" x14ac:dyDescent="0.35">
      <c r="E158" s="5"/>
      <c r="F158" s="43"/>
    </row>
    <row r="159" spans="5:6" hidden="1" x14ac:dyDescent="0.35">
      <c r="E159" s="5"/>
      <c r="F159" s="43"/>
    </row>
    <row r="160" spans="5:6" hidden="1" x14ac:dyDescent="0.35">
      <c r="E160" s="5"/>
      <c r="F160" s="43"/>
    </row>
    <row r="161" spans="5:6" hidden="1" x14ac:dyDescent="0.35">
      <c r="E161" s="5"/>
      <c r="F161" s="43"/>
    </row>
    <row r="162" spans="5:6" hidden="1" x14ac:dyDescent="0.35">
      <c r="E162" s="5"/>
      <c r="F162" s="43"/>
    </row>
    <row r="163" spans="5:6" hidden="1" x14ac:dyDescent="0.35">
      <c r="E163" s="5"/>
      <c r="F163" s="43"/>
    </row>
    <row r="164" spans="5:6" hidden="1" x14ac:dyDescent="0.35">
      <c r="E164" s="5"/>
      <c r="F164" s="43"/>
    </row>
    <row r="165" spans="5:6" hidden="1" x14ac:dyDescent="0.35">
      <c r="E165" s="5"/>
      <c r="F165" s="43"/>
    </row>
    <row r="166" spans="5:6" hidden="1" x14ac:dyDescent="0.35">
      <c r="E166" s="5"/>
      <c r="F166" s="43"/>
    </row>
    <row r="167" spans="5:6" hidden="1" x14ac:dyDescent="0.35">
      <c r="E167" s="5"/>
      <c r="F167" s="43"/>
    </row>
    <row r="168" spans="5:6" hidden="1" x14ac:dyDescent="0.35">
      <c r="E168" s="5"/>
      <c r="F168" s="43"/>
    </row>
    <row r="169" spans="5:6" hidden="1" x14ac:dyDescent="0.35">
      <c r="E169" s="5"/>
      <c r="F169" s="43"/>
    </row>
    <row r="170" spans="5:6" hidden="1" x14ac:dyDescent="0.35">
      <c r="E170" s="5"/>
      <c r="F170" s="43"/>
    </row>
    <row r="171" spans="5:6" hidden="1" x14ac:dyDescent="0.35">
      <c r="E171" s="5"/>
      <c r="F171" s="43"/>
    </row>
    <row r="172" spans="5:6" hidden="1" x14ac:dyDescent="0.35">
      <c r="E172" s="5"/>
      <c r="F172" s="43"/>
    </row>
    <row r="173" spans="5:6" hidden="1" x14ac:dyDescent="0.35">
      <c r="E173" s="5"/>
      <c r="F173" s="43"/>
    </row>
    <row r="174" spans="5:6" hidden="1" x14ac:dyDescent="0.35">
      <c r="E174" s="5"/>
      <c r="F174" s="43"/>
    </row>
    <row r="175" spans="5:6" hidden="1" x14ac:dyDescent="0.35">
      <c r="E175" s="5"/>
      <c r="F175" s="43"/>
    </row>
    <row r="176" spans="5:6" hidden="1" x14ac:dyDescent="0.35">
      <c r="E176" s="5"/>
      <c r="F176" s="43"/>
    </row>
    <row r="177" spans="5:6" hidden="1" x14ac:dyDescent="0.35">
      <c r="E177" s="5"/>
      <c r="F177" s="43"/>
    </row>
    <row r="178" spans="5:6" hidden="1" x14ac:dyDescent="0.35">
      <c r="E178" s="5"/>
      <c r="F178" s="43"/>
    </row>
    <row r="179" spans="5:6" hidden="1" x14ac:dyDescent="0.35">
      <c r="E179" s="5"/>
      <c r="F179" s="43"/>
    </row>
    <row r="180" spans="5:6" hidden="1" x14ac:dyDescent="0.35">
      <c r="E180" s="5"/>
      <c r="F180" s="43"/>
    </row>
    <row r="181" spans="5:6" hidden="1" x14ac:dyDescent="0.35">
      <c r="E181" s="5"/>
      <c r="F181" s="43"/>
    </row>
    <row r="182" spans="5:6" hidden="1" x14ac:dyDescent="0.35">
      <c r="E182" s="5"/>
      <c r="F182" s="43"/>
    </row>
    <row r="183" spans="5:6" hidden="1" x14ac:dyDescent="0.35">
      <c r="E183" s="5"/>
      <c r="F183" s="43"/>
    </row>
    <row r="184" spans="5:6" hidden="1" x14ac:dyDescent="0.35">
      <c r="E184" s="5"/>
      <c r="F184" s="43"/>
    </row>
    <row r="185" spans="5:6" hidden="1" x14ac:dyDescent="0.35">
      <c r="E185" s="5"/>
      <c r="F185" s="43"/>
    </row>
    <row r="186" spans="5:6" hidden="1" x14ac:dyDescent="0.35">
      <c r="E186" s="5"/>
      <c r="F186" s="43"/>
    </row>
    <row r="187" spans="5:6" hidden="1" x14ac:dyDescent="0.35">
      <c r="E187" s="5"/>
      <c r="F187" s="43"/>
    </row>
  </sheetData>
  <mergeCells count="1">
    <mergeCell ref="A2:A3"/>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CCA07-6041-42E8-8F59-D744D870A313}">
  <sheetPr>
    <pageSetUpPr autoPageBreaks="0"/>
  </sheetPr>
  <dimension ref="A1:L67"/>
  <sheetViews>
    <sheetView topLeftCell="B1" zoomScale="80" zoomScaleNormal="80" workbookViewId="0">
      <selection activeCell="H36" sqref="H36"/>
    </sheetView>
  </sheetViews>
  <sheetFormatPr defaultColWidth="0" defaultRowHeight="14.5" customHeight="1" zeroHeight="1" x14ac:dyDescent="0.35"/>
  <cols>
    <col min="1" max="1" width="4.36328125" style="26" customWidth="1"/>
    <col min="2" max="2" width="29.36328125" style="26" bestFit="1" customWidth="1"/>
    <col min="3" max="3" width="17.6328125" style="26" bestFit="1" customWidth="1"/>
    <col min="4" max="4" width="9.81640625" style="26" bestFit="1" customWidth="1"/>
    <col min="5" max="5" width="7.81640625" style="26" bestFit="1" customWidth="1"/>
    <col min="6" max="6" width="11.81640625" style="26" customWidth="1"/>
    <col min="7" max="7" width="11.6328125" style="26" customWidth="1"/>
    <col min="8" max="8" width="100.6328125" style="26" customWidth="1"/>
    <col min="9" max="12" width="15.6328125" hidden="1" customWidth="1"/>
    <col min="13" max="16384" width="8.6328125" hidden="1"/>
  </cols>
  <sheetData>
    <row r="1" spans="1:8" ht="57.65" customHeight="1" x14ac:dyDescent="0.35"/>
    <row r="2" spans="1:8" x14ac:dyDescent="0.35">
      <c r="A2" s="9" t="s">
        <v>28</v>
      </c>
      <c r="H2"/>
    </row>
    <row r="3" spans="1:8" x14ac:dyDescent="0.35">
      <c r="E3" s="83" t="s">
        <v>29</v>
      </c>
      <c r="F3" s="83"/>
      <c r="G3" s="83"/>
      <c r="H3"/>
    </row>
    <row r="4" spans="1:8" x14ac:dyDescent="0.35">
      <c r="B4" s="26" t="s">
        <v>14</v>
      </c>
      <c r="C4" s="21">
        <f>'Publication Format'!D12</f>
        <v>44762</v>
      </c>
      <c r="E4" s="84" t="s">
        <v>30</v>
      </c>
      <c r="F4" s="84"/>
      <c r="G4" s="84"/>
      <c r="H4"/>
    </row>
    <row r="5" spans="1:8" x14ac:dyDescent="0.35">
      <c r="B5" s="26" t="s">
        <v>31</v>
      </c>
      <c r="C5" s="16" t="str">
        <f>IF(SUMIF('Gas Wc'!$D$23:$D$147,'Gas Calculations'!C4,'Gas Wc'!$A$23:$A$147)=1,"Yes","No")</f>
        <v>Yes</v>
      </c>
      <c r="D5" s="75" t="str">
        <f>IF(C5="No","Chosen date is not a trading day, therefore MSC formula does not work","")</f>
        <v/>
      </c>
      <c r="E5" s="85" t="s">
        <v>32</v>
      </c>
      <c r="F5" s="85"/>
      <c r="G5" s="85"/>
      <c r="H5"/>
    </row>
    <row r="6" spans="1:8" x14ac:dyDescent="0.35">
      <c r="B6" s="26" t="s">
        <v>33</v>
      </c>
      <c r="C6" s="21" t="s">
        <v>58</v>
      </c>
      <c r="E6" s="86" t="s">
        <v>35</v>
      </c>
      <c r="F6" s="86"/>
      <c r="G6" s="86"/>
      <c r="H6"/>
    </row>
    <row r="7" spans="1:8" x14ac:dyDescent="0.35">
      <c r="H7"/>
    </row>
    <row r="8" spans="1:8" x14ac:dyDescent="0.35">
      <c r="B8" s="28" t="s">
        <v>36</v>
      </c>
      <c r="C8" s="9" t="s">
        <v>37</v>
      </c>
      <c r="D8" s="28" t="s">
        <v>38</v>
      </c>
      <c r="H8"/>
    </row>
    <row r="9" spans="1:8" x14ac:dyDescent="0.35">
      <c r="B9" s="26" t="s">
        <v>172</v>
      </c>
      <c r="C9" s="24">
        <f>'Gas Wpc'!Wt*(1+'Gas Calculations'!C18)</f>
        <v>264.26086523163508</v>
      </c>
      <c r="D9" s="27" t="str">
        <f>IF($C$6=$C$32,"p/therm","£/MWh")</f>
        <v>p/therm</v>
      </c>
      <c r="H9"/>
    </row>
    <row r="10" spans="1:8" x14ac:dyDescent="0.35">
      <c r="B10" s="26" t="s">
        <v>173</v>
      </c>
      <c r="C10" s="24">
        <f>'Gas Wc'!Wc*(1+C18)</f>
        <v>55.018035986252137</v>
      </c>
      <c r="D10" s="27" t="str">
        <f>IF($C$6=$C$32,"p/therm","£/MWh")</f>
        <v>p/therm</v>
      </c>
      <c r="H10"/>
    </row>
    <row r="11" spans="1:8" x14ac:dyDescent="0.35">
      <c r="B11" s="26" t="s">
        <v>174</v>
      </c>
      <c r="C11" s="24">
        <f>'Gas Wpc'!Wpc*(1+C18)</f>
        <v>293.62318359070559</v>
      </c>
      <c r="D11" s="27" t="str">
        <f>IF($C$6=$C$32,"p/therm","£/MWh")</f>
        <v>p/therm</v>
      </c>
      <c r="H11"/>
    </row>
    <row r="12" spans="1:8" x14ac:dyDescent="0.35">
      <c r="C12"/>
      <c r="H12"/>
    </row>
    <row r="13" spans="1:8" x14ac:dyDescent="0.35">
      <c r="B13" s="28" t="s">
        <v>42</v>
      </c>
      <c r="C13" t="str">
        <f>IF(C10&gt;C9,"No MSC","MSC Triggered")</f>
        <v>MSC Triggered</v>
      </c>
      <c r="D13" s="27"/>
      <c r="H13"/>
    </row>
    <row r="14" spans="1:8" x14ac:dyDescent="0.35">
      <c r="B14" s="28" t="s">
        <v>43</v>
      </c>
      <c r="C14" t="str">
        <f>IF(C10&lt;=C9,"LSLT Triggered","LSLT Not Triggered")</f>
        <v>LSLT Triggered</v>
      </c>
      <c r="H14"/>
    </row>
    <row r="15" spans="1:8" x14ac:dyDescent="0.35">
      <c r="D15" s="27"/>
      <c r="H15"/>
    </row>
    <row r="16" spans="1:8" x14ac:dyDescent="0.35">
      <c r="B16" s="26" t="s">
        <v>44</v>
      </c>
      <c r="C16" s="71">
        <f>IFERROR(VLOOKUP(C4,'Gas Wpc'!$D$22:$W$204,20,FALSE),"NA")</f>
        <v>0.86570247933884303</v>
      </c>
      <c r="D16" s="27"/>
      <c r="H16"/>
    </row>
    <row r="17" spans="2:8" x14ac:dyDescent="0.35">
      <c r="D17" s="27"/>
      <c r="H17"/>
    </row>
    <row r="18" spans="2:8" x14ac:dyDescent="0.35">
      <c r="B18" s="26" t="s">
        <v>175</v>
      </c>
      <c r="C18" s="69">
        <v>1.8200000000000001E-2</v>
      </c>
      <c r="D18" s="27"/>
      <c r="H18"/>
    </row>
    <row r="19" spans="2:8" x14ac:dyDescent="0.35">
      <c r="D19" s="27"/>
      <c r="H19"/>
    </row>
    <row r="20" spans="2:8" x14ac:dyDescent="0.35">
      <c r="B20" s="28" t="s">
        <v>58</v>
      </c>
      <c r="D20" s="27"/>
      <c r="H20"/>
    </row>
    <row r="21" spans="2:8" x14ac:dyDescent="0.35">
      <c r="B21" s="26" t="s">
        <v>47</v>
      </c>
      <c r="C21" s="42">
        <v>0.85</v>
      </c>
      <c r="D21" s="27" t="s">
        <v>48</v>
      </c>
      <c r="H21"/>
    </row>
    <row r="22" spans="2:8" x14ac:dyDescent="0.35">
      <c r="B22" s="26" t="s">
        <v>49</v>
      </c>
      <c r="C22" s="18">
        <f>C16*(C9-C10)</f>
        <v>181.1420360616022</v>
      </c>
      <c r="D22" s="27" t="str">
        <f>IF($C$6=$C$32,"p/therm","£/MWh")</f>
        <v>p/therm</v>
      </c>
      <c r="H22"/>
    </row>
    <row r="23" spans="2:8" x14ac:dyDescent="0.35">
      <c r="B23" s="26" t="s">
        <v>50</v>
      </c>
      <c r="C23" s="42">
        <f>VLOOKUP(MONTH(C4),$A$39:$F$50,6,FALSE)</f>
        <v>0.70534000000000008</v>
      </c>
      <c r="D23" s="27" t="s">
        <v>48</v>
      </c>
      <c r="H23"/>
    </row>
    <row r="24" spans="2:8" x14ac:dyDescent="0.35">
      <c r="B24" s="26" t="s">
        <v>51</v>
      </c>
      <c r="C24" s="18">
        <f>IF(C6=C32,0.3412,1)</f>
        <v>0.3412</v>
      </c>
      <c r="D24" s="27" t="s">
        <v>52</v>
      </c>
      <c r="H24"/>
    </row>
    <row r="25" spans="2:8" x14ac:dyDescent="0.35">
      <c r="D25" s="27"/>
      <c r="H25"/>
    </row>
    <row r="26" spans="2:8" x14ac:dyDescent="0.35">
      <c r="B26" s="26" t="s">
        <v>53</v>
      </c>
      <c r="C26" s="70">
        <v>0.9</v>
      </c>
      <c r="D26" s="27" t="s">
        <v>48</v>
      </c>
      <c r="H26"/>
    </row>
    <row r="27" spans="2:8" x14ac:dyDescent="0.35">
      <c r="D27" s="27"/>
      <c r="H27"/>
    </row>
    <row r="28" spans="2:8" x14ac:dyDescent="0.35">
      <c r="B28" s="28" t="s">
        <v>54</v>
      </c>
      <c r="C28" s="24">
        <f>(C21*C22*C23*C24)</f>
        <v>37.054905212024558</v>
      </c>
      <c r="D28" s="27" t="s">
        <v>55</v>
      </c>
      <c r="H28"/>
    </row>
    <row r="29" spans="2:8" x14ac:dyDescent="0.35">
      <c r="C29" s="41"/>
      <c r="D29" s="27"/>
      <c r="H29"/>
    </row>
    <row r="30" spans="2:8" x14ac:dyDescent="0.35">
      <c r="H30"/>
    </row>
    <row r="31" spans="2:8" x14ac:dyDescent="0.35">
      <c r="D31" s="26" t="s">
        <v>56</v>
      </c>
      <c r="H31"/>
    </row>
    <row r="32" spans="2:8" x14ac:dyDescent="0.35">
      <c r="B32" s="82" t="s">
        <v>57</v>
      </c>
      <c r="C32" s="26" t="s">
        <v>58</v>
      </c>
      <c r="D32" s="26">
        <v>12</v>
      </c>
      <c r="H32"/>
    </row>
    <row r="33" spans="1:7" x14ac:dyDescent="0.35">
      <c r="B33" s="82"/>
      <c r="C33" s="29" t="s">
        <v>34</v>
      </c>
      <c r="D33" s="26">
        <v>3.1</v>
      </c>
    </row>
    <row r="34" spans="1:7" x14ac:dyDescent="0.35">
      <c r="B34" s="26" t="str">
        <f>"Price cap index "&amp;C6&amp;" "&amp;D11</f>
        <v>Price cap index Gas p/therm</v>
      </c>
    </row>
    <row r="35" spans="1:7" x14ac:dyDescent="0.35">
      <c r="B35" s="26" t="str">
        <f>"Wholesale "&amp;C6&amp;" cost "&amp;D11</f>
        <v>Wholesale Gas cost p/therm</v>
      </c>
    </row>
    <row r="36" spans="1:7" x14ac:dyDescent="0.35">
      <c r="B36"/>
    </row>
    <row r="37" spans="1:7" x14ac:dyDescent="0.35">
      <c r="A37" s="81" t="s">
        <v>59</v>
      </c>
      <c r="B37" s="81"/>
      <c r="C37" s="81"/>
      <c r="D37" s="81"/>
      <c r="E37" s="81"/>
      <c r="F37" s="81"/>
      <c r="G37" s="81"/>
    </row>
    <row r="38" spans="1:7" x14ac:dyDescent="0.35">
      <c r="A38" s="22"/>
      <c r="B38" s="23" t="s">
        <v>60</v>
      </c>
      <c r="C38" s="23" t="s">
        <v>61</v>
      </c>
      <c r="D38" s="23" t="s">
        <v>62</v>
      </c>
      <c r="E38" s="23" t="s">
        <v>58</v>
      </c>
      <c r="F38" s="23" t="s">
        <v>63</v>
      </c>
      <c r="G38" s="23" t="s">
        <v>64</v>
      </c>
    </row>
    <row r="39" spans="1:7" x14ac:dyDescent="0.35">
      <c r="A39" s="7">
        <v>1</v>
      </c>
      <c r="B39" s="7" t="s">
        <v>65</v>
      </c>
      <c r="C39" s="76">
        <v>0.10346</v>
      </c>
      <c r="D39" s="76">
        <f>SUM(C39:C46)</f>
        <v>0.64409000000000005</v>
      </c>
      <c r="E39" s="76">
        <v>0.15756999999999999</v>
      </c>
      <c r="F39" s="76">
        <f>SUM(E39:E46)</f>
        <v>0.63384000000000007</v>
      </c>
      <c r="G39" s="15">
        <f t="shared" ref="G39:G50" si="0">AVERAGE(C39,E39)</f>
        <v>0.13051499999999999</v>
      </c>
    </row>
    <row r="40" spans="1:7" x14ac:dyDescent="0.35">
      <c r="A40" s="6">
        <v>2</v>
      </c>
      <c r="B40" s="6" t="s">
        <v>66</v>
      </c>
      <c r="C40" s="77">
        <v>9.0359999999999996E-2</v>
      </c>
      <c r="D40" s="77">
        <f>SUM(C40:C47)</f>
        <v>0.61328999999999989</v>
      </c>
      <c r="E40" s="77">
        <v>0.13800000000000001</v>
      </c>
      <c r="F40" s="77">
        <f>SUM(E40:E47)</f>
        <v>0.50861999999999996</v>
      </c>
      <c r="G40" s="14">
        <f t="shared" si="0"/>
        <v>0.11418</v>
      </c>
    </row>
    <row r="41" spans="1:7" x14ac:dyDescent="0.35">
      <c r="A41" s="7">
        <v>3</v>
      </c>
      <c r="B41" s="7" t="s">
        <v>67</v>
      </c>
      <c r="C41" s="76">
        <v>9.3740000000000004E-2</v>
      </c>
      <c r="D41" s="76">
        <f>SUM(C41:C48)</f>
        <v>0.6077999999999999</v>
      </c>
      <c r="E41" s="76">
        <v>0.12769</v>
      </c>
      <c r="F41" s="76">
        <f>SUM(E41:E48)</f>
        <v>0.44229999999999992</v>
      </c>
      <c r="G41" s="15">
        <f t="shared" si="0"/>
        <v>0.11071500000000001</v>
      </c>
    </row>
    <row r="42" spans="1:7" x14ac:dyDescent="0.35">
      <c r="A42" s="6">
        <v>4</v>
      </c>
      <c r="B42" s="6" t="s">
        <v>68</v>
      </c>
      <c r="C42" s="77">
        <v>7.6920000000000002E-2</v>
      </c>
      <c r="D42" s="77">
        <f>SUM(C42:C49)</f>
        <v>0.60877999999999999</v>
      </c>
      <c r="E42" s="77">
        <v>8.5760000000000003E-2</v>
      </c>
      <c r="F42" s="77">
        <f>SUM(E42:E49)</f>
        <v>0.42947999999999997</v>
      </c>
      <c r="G42" s="14">
        <f t="shared" si="0"/>
        <v>8.1339999999999996E-2</v>
      </c>
    </row>
    <row r="43" spans="1:7" x14ac:dyDescent="0.35">
      <c r="A43" s="7">
        <v>5</v>
      </c>
      <c r="B43" s="7" t="s">
        <v>69</v>
      </c>
      <c r="C43" s="76">
        <v>7.3719999999999994E-2</v>
      </c>
      <c r="D43" s="76">
        <f>SUM(C43:C50)</f>
        <v>0.63551999999999997</v>
      </c>
      <c r="E43" s="76">
        <v>5.2290000000000003E-2</v>
      </c>
      <c r="F43" s="76">
        <f>SUM(E43:E50)</f>
        <v>0.49098000000000003</v>
      </c>
      <c r="G43" s="15">
        <f t="shared" si="0"/>
        <v>6.3005000000000005E-2</v>
      </c>
    </row>
    <row r="44" spans="1:7" x14ac:dyDescent="0.35">
      <c r="A44" s="6">
        <v>6</v>
      </c>
      <c r="B44" s="6" t="s">
        <v>70</v>
      </c>
      <c r="C44" s="77">
        <v>6.8210000000000007E-2</v>
      </c>
      <c r="D44" s="77">
        <f>SUM(C44:C50)+C39</f>
        <v>0.66525999999999996</v>
      </c>
      <c r="E44" s="77">
        <v>2.8920000000000001E-2</v>
      </c>
      <c r="F44" s="77">
        <f>SUM(E44:E50)+E39</f>
        <v>0.59626000000000001</v>
      </c>
      <c r="G44" s="14">
        <f t="shared" si="0"/>
        <v>4.8565000000000004E-2</v>
      </c>
    </row>
    <row r="45" spans="1:7" x14ac:dyDescent="0.35">
      <c r="A45" s="7">
        <v>7</v>
      </c>
      <c r="B45" s="7" t="s">
        <v>71</v>
      </c>
      <c r="C45" s="76">
        <v>6.8879999999999997E-2</v>
      </c>
      <c r="D45" s="76">
        <f>SUM(C45:C50)+SUM(C39:C40)</f>
        <v>0.68740999999999997</v>
      </c>
      <c r="E45" s="76">
        <v>2.2030000000000001E-2</v>
      </c>
      <c r="F45" s="76">
        <f>SUM(E45:E50)+SUM(E39:E40)</f>
        <v>0.70534000000000008</v>
      </c>
      <c r="G45" s="15">
        <f t="shared" si="0"/>
        <v>4.5454999999999995E-2</v>
      </c>
    </row>
    <row r="46" spans="1:7" x14ac:dyDescent="0.35">
      <c r="A46" s="6">
        <v>8</v>
      </c>
      <c r="B46" s="6" t="s">
        <v>72</v>
      </c>
      <c r="C46" s="77">
        <v>6.88E-2</v>
      </c>
      <c r="D46" s="77">
        <f>SUM(C46:C50)+SUM(C39:C41)</f>
        <v>0.71226999999999996</v>
      </c>
      <c r="E46" s="77">
        <v>2.1579999999999998E-2</v>
      </c>
      <c r="F46" s="77">
        <f>SUM(E46:E50)+SUM(E39:E41)</f>
        <v>0.81099999999999994</v>
      </c>
      <c r="G46" s="14">
        <f t="shared" si="0"/>
        <v>4.5190000000000001E-2</v>
      </c>
    </row>
    <row r="47" spans="1:7" x14ac:dyDescent="0.35">
      <c r="A47" s="7">
        <v>9</v>
      </c>
      <c r="B47" s="7" t="s">
        <v>73</v>
      </c>
      <c r="C47" s="76">
        <v>7.2660000000000002E-2</v>
      </c>
      <c r="D47" s="76">
        <f>SUM(C47:C50)+SUM(C39:C42)</f>
        <v>0.72038999999999986</v>
      </c>
      <c r="E47" s="76">
        <v>3.2349999999999997E-2</v>
      </c>
      <c r="F47" s="76">
        <f>SUM(E47:E50)+SUM(E39:E42)</f>
        <v>0.87518000000000007</v>
      </c>
      <c r="G47" s="15">
        <f t="shared" si="0"/>
        <v>5.2504999999999996E-2</v>
      </c>
    </row>
    <row r="48" spans="1:7" x14ac:dyDescent="0.35">
      <c r="A48" s="6">
        <v>10</v>
      </c>
      <c r="B48" s="6" t="s">
        <v>74</v>
      </c>
      <c r="C48" s="77">
        <v>8.4870000000000001E-2</v>
      </c>
      <c r="D48" s="77">
        <f>SUM(C48:C50)+SUM(C39:C43)</f>
        <v>0.72144999999999992</v>
      </c>
      <c r="E48" s="77">
        <v>7.1679999999999994E-2</v>
      </c>
      <c r="F48" s="77">
        <f>SUM(E48:E50)+SUM(E39:E43)</f>
        <v>0.89511999999999992</v>
      </c>
      <c r="G48" s="14">
        <f t="shared" si="0"/>
        <v>7.8274999999999997E-2</v>
      </c>
    </row>
    <row r="49" spans="1:7" x14ac:dyDescent="0.35">
      <c r="A49" s="7">
        <v>11</v>
      </c>
      <c r="B49" s="7" t="s">
        <v>75</v>
      </c>
      <c r="C49" s="76">
        <v>9.4719999999999999E-2</v>
      </c>
      <c r="D49" s="76">
        <f>SUM(C49:C50)+SUM(C39:C44)</f>
        <v>0.70479000000000003</v>
      </c>
      <c r="E49" s="76">
        <v>0.11487</v>
      </c>
      <c r="F49" s="76">
        <f>SUM(E49:E50)+SUM(E39:E44)</f>
        <v>0.85236000000000001</v>
      </c>
      <c r="G49" s="15">
        <f t="shared" si="0"/>
        <v>0.104795</v>
      </c>
    </row>
    <row r="50" spans="1:7" x14ac:dyDescent="0.35">
      <c r="A50" s="6">
        <v>12</v>
      </c>
      <c r="B50" s="6" t="s">
        <v>76</v>
      </c>
      <c r="C50" s="77">
        <v>0.10366</v>
      </c>
      <c r="D50" s="77">
        <f>SUM(C50)+SUM(C39:C45)</f>
        <v>0.67895000000000005</v>
      </c>
      <c r="E50" s="77">
        <v>0.14726</v>
      </c>
      <c r="F50" s="77">
        <f>SUM(E50)+SUM(E39:E45)</f>
        <v>0.75951999999999997</v>
      </c>
      <c r="G50" s="14">
        <f t="shared" si="0"/>
        <v>0.12546000000000002</v>
      </c>
    </row>
    <row r="51" spans="1:7" x14ac:dyDescent="0.35"/>
    <row r="63" spans="1:7" ht="14.5" customHeight="1" x14ac:dyDescent="0.35"/>
    <row r="64" spans="1:7" ht="14.5" customHeight="1" x14ac:dyDescent="0.35"/>
    <row r="65" ht="14.5" customHeight="1" x14ac:dyDescent="0.35"/>
    <row r="67" ht="14.5" customHeight="1" x14ac:dyDescent="0.35"/>
  </sheetData>
  <mergeCells count="6">
    <mergeCell ref="A37:G37"/>
    <mergeCell ref="E3:G3"/>
    <mergeCell ref="E4:G4"/>
    <mergeCell ref="E5:G5"/>
    <mergeCell ref="E6:G6"/>
    <mergeCell ref="B32:B33"/>
  </mergeCells>
  <conditionalFormatting sqref="C5">
    <cfRule type="cellIs" dxfId="7" priority="5" operator="equal">
      <formula>"Yes"</formula>
    </cfRule>
    <cfRule type="cellIs" dxfId="6" priority="6" operator="equal">
      <formula>"No"</formula>
    </cfRule>
  </conditionalFormatting>
  <conditionalFormatting sqref="C13:C14">
    <cfRule type="cellIs" dxfId="5" priority="4" operator="equal">
      <formula>"LSLT Triggered"</formula>
    </cfRule>
  </conditionalFormatting>
  <conditionalFormatting sqref="C13">
    <cfRule type="cellIs" dxfId="4" priority="2" operator="equal">
      <formula>"MSC Triggered"</formula>
    </cfRule>
    <cfRule type="cellIs" dxfId="3" priority="3" operator="equal">
      <formula>"No MSC"</formula>
    </cfRule>
  </conditionalFormatting>
  <conditionalFormatting sqref="C14">
    <cfRule type="cellIs" dxfId="2" priority="1" operator="equal">
      <formula>"LSLT Not Triggered"</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0E0B2-9155-466B-90B8-054AF1430348}">
  <sheetPr>
    <pageSetUpPr autoPageBreaks="0"/>
  </sheetPr>
  <dimension ref="A1:AI204"/>
  <sheetViews>
    <sheetView zoomScale="80" zoomScaleNormal="80" workbookViewId="0">
      <selection activeCell="V19" sqref="V19"/>
    </sheetView>
  </sheetViews>
  <sheetFormatPr defaultColWidth="0" defaultRowHeight="14.5" customHeight="1" zeroHeight="1" x14ac:dyDescent="0.35"/>
  <cols>
    <col min="1" max="1" width="3.08984375" style="26" customWidth="1"/>
    <col min="2" max="2" width="6.81640625" bestFit="1" customWidth="1"/>
    <col min="3" max="3" width="14.6328125" customWidth="1"/>
    <col min="4" max="4" width="14.36328125" customWidth="1"/>
    <col min="5" max="5" width="8.6328125" customWidth="1"/>
    <col min="6" max="8" width="7.81640625" customWidth="1"/>
    <col min="9" max="16" width="7.6328125" customWidth="1"/>
    <col min="17" max="17" width="17.6328125" bestFit="1" customWidth="1"/>
    <col min="18" max="18" width="7.6328125" customWidth="1"/>
    <col min="19" max="20" width="8" bestFit="1" customWidth="1"/>
    <col min="21" max="21" width="14.26953125" customWidth="1"/>
    <col min="22" max="22" width="13.08984375" style="26" customWidth="1"/>
    <col min="23" max="23" width="12.81640625" style="26" customWidth="1"/>
    <col min="24" max="24" width="21.08984375" style="26" customWidth="1"/>
    <col min="25" max="25" width="19.6328125" style="26" customWidth="1"/>
    <col min="26" max="26" width="15.81640625" style="26" customWidth="1"/>
    <col min="27" max="27" width="11.81640625" style="26" customWidth="1"/>
    <col min="28" max="28" width="14.36328125" style="26" bestFit="1" customWidth="1"/>
    <col min="29" max="29" width="16.08984375" style="26" bestFit="1" customWidth="1"/>
    <col min="30" max="30" width="14.81640625" style="26" bestFit="1" customWidth="1"/>
    <col min="31" max="31" width="25.6328125" style="26" bestFit="1" customWidth="1"/>
    <col min="32" max="32" width="24.36328125" style="26" bestFit="1" customWidth="1"/>
    <col min="33" max="34" width="18.6328125" style="26" bestFit="1" customWidth="1"/>
    <col min="35" max="35" width="13.08984375" style="26" bestFit="1" customWidth="1"/>
    <col min="36" max="16384" width="8.6328125" style="26" hidden="1"/>
  </cols>
  <sheetData>
    <row r="1" spans="1:35" ht="59.5" customHeight="1" x14ac:dyDescent="0.35">
      <c r="B1" s="26"/>
      <c r="C1" s="26"/>
      <c r="D1" s="26"/>
      <c r="E1" s="26"/>
      <c r="F1" s="26"/>
      <c r="G1" s="26"/>
      <c r="H1" s="26"/>
      <c r="I1" s="26"/>
      <c r="J1" s="26"/>
      <c r="K1" s="26"/>
      <c r="L1" s="26"/>
      <c r="M1" s="26"/>
      <c r="N1" s="26"/>
      <c r="O1" s="26"/>
      <c r="P1" s="26"/>
      <c r="Q1" s="26"/>
      <c r="R1" s="26"/>
      <c r="S1" s="26"/>
      <c r="T1" s="26"/>
      <c r="U1" s="26"/>
    </row>
    <row r="2" spans="1:35" customFormat="1" x14ac:dyDescent="0.35">
      <c r="A2" s="28" t="s">
        <v>77</v>
      </c>
      <c r="B2" s="28"/>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5" customFormat="1" x14ac:dyDescent="0.3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35" customFormat="1" x14ac:dyDescent="0.3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35" customFormat="1" ht="26.5" x14ac:dyDescent="0.35">
      <c r="A5" s="26"/>
      <c r="B5" s="26"/>
      <c r="C5" s="28" t="s">
        <v>36</v>
      </c>
      <c r="D5" s="28" t="s">
        <v>37</v>
      </c>
      <c r="E5" s="28" t="s">
        <v>78</v>
      </c>
      <c r="F5" s="26"/>
      <c r="G5" s="26"/>
      <c r="H5" s="26"/>
      <c r="I5" s="26"/>
      <c r="J5" s="26"/>
      <c r="K5" s="26"/>
      <c r="L5" s="26"/>
      <c r="M5" s="26"/>
      <c r="N5" s="26"/>
      <c r="O5" s="26"/>
      <c r="P5" s="26"/>
      <c r="Q5" s="26"/>
      <c r="R5" s="26"/>
      <c r="S5" s="26"/>
      <c r="T5" s="26"/>
      <c r="U5" s="26"/>
      <c r="V5" s="26"/>
      <c r="W5" s="26"/>
      <c r="X5" s="35" t="s">
        <v>79</v>
      </c>
      <c r="Y5" s="35" t="s">
        <v>80</v>
      </c>
      <c r="Z5" s="35" t="s">
        <v>81</v>
      </c>
      <c r="AA5" s="35" t="s">
        <v>82</v>
      </c>
      <c r="AB5" s="35" t="s">
        <v>83</v>
      </c>
      <c r="AC5" s="35" t="s">
        <v>84</v>
      </c>
      <c r="AD5" s="35" t="s">
        <v>85</v>
      </c>
      <c r="AE5" s="35" t="s">
        <v>86</v>
      </c>
      <c r="AF5" s="35" t="s">
        <v>87</v>
      </c>
      <c r="AG5" s="35" t="s">
        <v>88</v>
      </c>
      <c r="AH5" s="35" t="s">
        <v>88</v>
      </c>
      <c r="AI5" s="35" t="s">
        <v>89</v>
      </c>
    </row>
    <row r="6" spans="1:35" customFormat="1" ht="16.5" x14ac:dyDescent="0.45">
      <c r="A6" s="26"/>
      <c r="B6" s="26"/>
      <c r="C6" s="26" t="s">
        <v>90</v>
      </c>
      <c r="D6" s="54">
        <v>124.67</v>
      </c>
      <c r="E6" s="27" t="str">
        <f>IF('Gas Calculations'!$C$6='Gas Calculations'!$C$32,"p/therm","£/MWh")</f>
        <v>p/therm</v>
      </c>
      <c r="F6" s="78" t="s">
        <v>91</v>
      </c>
      <c r="G6" s="26"/>
      <c r="H6" s="26"/>
      <c r="I6" s="26"/>
      <c r="J6" s="26"/>
      <c r="K6" s="26"/>
      <c r="L6" s="26"/>
      <c r="M6" s="26"/>
      <c r="N6" s="26"/>
      <c r="O6" s="26"/>
      <c r="P6" s="26"/>
      <c r="Q6" s="26"/>
      <c r="R6" s="26"/>
      <c r="S6" s="26"/>
      <c r="T6" s="26"/>
      <c r="U6" s="26"/>
      <c r="V6" s="1" t="s">
        <v>92</v>
      </c>
      <c r="W6" s="1" t="s">
        <v>93</v>
      </c>
      <c r="X6" s="2">
        <v>43132</v>
      </c>
      <c r="Y6" s="2">
        <v>43312</v>
      </c>
      <c r="Z6" s="6">
        <f>Y6-X6</f>
        <v>180</v>
      </c>
      <c r="AA6" s="2">
        <f t="shared" ref="AA6:AA15" si="0">Y6+1</f>
        <v>43313</v>
      </c>
      <c r="AB6" s="2">
        <f t="shared" ref="AB6:AB15" si="1">AC6-1</f>
        <v>43373</v>
      </c>
      <c r="AC6" s="2">
        <v>43374</v>
      </c>
      <c r="AD6" s="2">
        <v>43555</v>
      </c>
      <c r="AE6" s="2">
        <f t="shared" ref="AE6:AE15" si="2">AC6</f>
        <v>43374</v>
      </c>
      <c r="AF6" s="2">
        <f>AD7</f>
        <v>43738</v>
      </c>
      <c r="AG6" s="2">
        <f>AC6</f>
        <v>43374</v>
      </c>
      <c r="AH6" s="2">
        <v>43555</v>
      </c>
      <c r="AI6" s="6">
        <f>AH6-AG6</f>
        <v>181</v>
      </c>
    </row>
    <row r="7" spans="1:35" customFormat="1" ht="16.5" x14ac:dyDescent="0.45">
      <c r="A7" s="26"/>
      <c r="B7" s="26"/>
      <c r="C7" s="26" t="s">
        <v>94</v>
      </c>
      <c r="D7" s="54">
        <v>320.18</v>
      </c>
      <c r="E7" s="27" t="str">
        <f>IF('Gas Calculations'!$C$6='Gas Calculations'!$C$32,"p/therm","£/MWh")</f>
        <v>p/therm</v>
      </c>
      <c r="F7" s="78" t="s">
        <v>91</v>
      </c>
      <c r="G7" s="26"/>
      <c r="H7" s="26"/>
      <c r="I7" s="26"/>
      <c r="J7" s="26"/>
      <c r="K7" s="26"/>
      <c r="L7" s="26"/>
      <c r="M7" s="26"/>
      <c r="N7" s="26"/>
      <c r="O7" s="26"/>
      <c r="P7" s="26"/>
      <c r="Q7" s="26"/>
      <c r="R7" s="26"/>
      <c r="S7" s="26"/>
      <c r="T7" s="26"/>
      <c r="U7" s="26"/>
      <c r="V7" s="3" t="s">
        <v>95</v>
      </c>
      <c r="W7" s="3" t="s">
        <v>96</v>
      </c>
      <c r="X7" s="4">
        <f t="shared" ref="X7:X15" si="3">Y6+1</f>
        <v>43313</v>
      </c>
      <c r="Y7" s="4">
        <v>43496</v>
      </c>
      <c r="Z7" s="7">
        <f t="shared" ref="Z7:Z15" si="4">Y7-X7</f>
        <v>183</v>
      </c>
      <c r="AA7" s="4">
        <f t="shared" si="0"/>
        <v>43497</v>
      </c>
      <c r="AB7" s="4">
        <f t="shared" si="1"/>
        <v>43555</v>
      </c>
      <c r="AC7" s="4">
        <f t="shared" ref="AC7:AC15" si="5">AD6+1</f>
        <v>43556</v>
      </c>
      <c r="AD7" s="4">
        <v>43738</v>
      </c>
      <c r="AE7" s="4">
        <f t="shared" si="2"/>
        <v>43556</v>
      </c>
      <c r="AF7" s="4">
        <f>AD8</f>
        <v>43921</v>
      </c>
      <c r="AG7" s="4">
        <f>AC7</f>
        <v>43556</v>
      </c>
      <c r="AH7" s="4">
        <v>43738</v>
      </c>
      <c r="AI7" s="7">
        <f t="shared" ref="AI7:AI15" si="6">AH7-AG7</f>
        <v>182</v>
      </c>
    </row>
    <row r="8" spans="1:35" customFormat="1" ht="16.5" x14ac:dyDescent="0.45">
      <c r="A8" s="26"/>
      <c r="B8" s="26"/>
      <c r="C8" s="26" t="s">
        <v>97</v>
      </c>
      <c r="D8" s="54">
        <v>270.19</v>
      </c>
      <c r="E8" s="27" t="str">
        <f>IF('Gas Calculations'!$C$6='Gas Calculations'!$C$32,"p/therm","£/MWh")</f>
        <v>p/therm</v>
      </c>
      <c r="F8" s="78" t="s">
        <v>91</v>
      </c>
      <c r="G8" s="26"/>
      <c r="H8" s="26"/>
      <c r="I8" s="26"/>
      <c r="J8" s="26"/>
      <c r="K8" s="26"/>
      <c r="L8" s="26"/>
      <c r="M8" s="26"/>
      <c r="N8" s="26"/>
      <c r="O8" s="26"/>
      <c r="P8" s="26"/>
      <c r="Q8" s="26"/>
      <c r="R8" s="26"/>
      <c r="S8" s="26"/>
      <c r="T8" s="26"/>
      <c r="U8" s="26"/>
      <c r="V8" s="1" t="s">
        <v>98</v>
      </c>
      <c r="W8" s="1" t="s">
        <v>99</v>
      </c>
      <c r="X8" s="2">
        <f t="shared" si="3"/>
        <v>43497</v>
      </c>
      <c r="Y8" s="2">
        <v>43677</v>
      </c>
      <c r="Z8" s="6">
        <f t="shared" si="4"/>
        <v>180</v>
      </c>
      <c r="AA8" s="2">
        <f t="shared" si="0"/>
        <v>43678</v>
      </c>
      <c r="AB8" s="2">
        <f t="shared" si="1"/>
        <v>43738</v>
      </c>
      <c r="AC8" s="2">
        <f t="shared" si="5"/>
        <v>43739</v>
      </c>
      <c r="AD8" s="2">
        <v>43921</v>
      </c>
      <c r="AE8" s="2">
        <f t="shared" si="2"/>
        <v>43739</v>
      </c>
      <c r="AF8" s="2">
        <f t="shared" ref="AF8:AF14" si="7">AD9</f>
        <v>44104</v>
      </c>
      <c r="AG8" s="2">
        <f t="shared" ref="AG8:AG15" si="8">AC8</f>
        <v>43739</v>
      </c>
      <c r="AH8" s="2">
        <v>43921</v>
      </c>
      <c r="AI8" s="6">
        <f t="shared" si="6"/>
        <v>182</v>
      </c>
    </row>
    <row r="9" spans="1:35" customFormat="1" ht="16.5" x14ac:dyDescent="0.45">
      <c r="A9" s="26"/>
      <c r="B9" s="26"/>
      <c r="C9" s="26" t="s">
        <v>100</v>
      </c>
      <c r="D9" s="33">
        <f>IF('Gas Calculations'!C6='Gas Calculations'!C32,D17,D16)</f>
        <v>0.24292945617678946</v>
      </c>
      <c r="E9" s="27" t="s">
        <v>48</v>
      </c>
      <c r="F9" s="78" t="s">
        <v>101</v>
      </c>
      <c r="G9" s="26"/>
      <c r="H9" s="26"/>
      <c r="I9" s="26"/>
      <c r="J9" s="26"/>
      <c r="K9" s="26"/>
      <c r="L9" s="26"/>
      <c r="M9" s="26"/>
      <c r="N9" s="26"/>
      <c r="O9" s="26"/>
      <c r="P9" s="26"/>
      <c r="Q9" s="26"/>
      <c r="R9" s="26"/>
      <c r="S9" s="26"/>
      <c r="T9" s="26"/>
      <c r="U9" s="26"/>
      <c r="V9" s="3" t="s">
        <v>102</v>
      </c>
      <c r="W9" s="3" t="s">
        <v>103</v>
      </c>
      <c r="X9" s="4">
        <f t="shared" si="3"/>
        <v>43678</v>
      </c>
      <c r="Y9" s="4">
        <v>43861</v>
      </c>
      <c r="Z9" s="7">
        <f t="shared" si="4"/>
        <v>183</v>
      </c>
      <c r="AA9" s="4">
        <f t="shared" si="0"/>
        <v>43862</v>
      </c>
      <c r="AB9" s="4">
        <f t="shared" si="1"/>
        <v>43921</v>
      </c>
      <c r="AC9" s="4">
        <f t="shared" si="5"/>
        <v>43922</v>
      </c>
      <c r="AD9" s="4">
        <v>44104</v>
      </c>
      <c r="AE9" s="4">
        <f t="shared" si="2"/>
        <v>43922</v>
      </c>
      <c r="AF9" s="4">
        <f t="shared" si="7"/>
        <v>44286</v>
      </c>
      <c r="AG9" s="4">
        <f t="shared" si="8"/>
        <v>43922</v>
      </c>
      <c r="AH9" s="4">
        <v>44104</v>
      </c>
      <c r="AI9" s="7">
        <f t="shared" si="6"/>
        <v>182</v>
      </c>
    </row>
    <row r="10" spans="1:35" customFormat="1" ht="16.5" x14ac:dyDescent="0.45">
      <c r="A10" s="26"/>
      <c r="B10" s="26"/>
      <c r="C10" s="26" t="s">
        <v>104</v>
      </c>
      <c r="D10" s="33">
        <f>IF('Gas Calculations'!C6='Gas Calculations'!C32,E17,E16)</f>
        <v>0.75707054382320926</v>
      </c>
      <c r="E10" s="27" t="s">
        <v>48</v>
      </c>
      <c r="F10" s="78" t="s">
        <v>105</v>
      </c>
      <c r="G10" s="26"/>
      <c r="H10" s="26"/>
      <c r="I10" s="26"/>
      <c r="J10" s="26"/>
      <c r="K10" s="26"/>
      <c r="L10" s="26"/>
      <c r="M10" s="26"/>
      <c r="N10" s="26"/>
      <c r="O10" s="26"/>
      <c r="P10" s="26"/>
      <c r="Q10" s="26"/>
      <c r="R10" s="26"/>
      <c r="S10" s="26"/>
      <c r="T10" s="26"/>
      <c r="U10" s="26"/>
      <c r="V10" s="1" t="s">
        <v>106</v>
      </c>
      <c r="W10" s="1" t="s">
        <v>107</v>
      </c>
      <c r="X10" s="2">
        <f t="shared" si="3"/>
        <v>43862</v>
      </c>
      <c r="Y10" s="2">
        <v>44043</v>
      </c>
      <c r="Z10" s="6">
        <f t="shared" si="4"/>
        <v>181</v>
      </c>
      <c r="AA10" s="2">
        <f t="shared" si="0"/>
        <v>44044</v>
      </c>
      <c r="AB10" s="2">
        <f t="shared" si="1"/>
        <v>44104</v>
      </c>
      <c r="AC10" s="2">
        <f t="shared" si="5"/>
        <v>44105</v>
      </c>
      <c r="AD10" s="2">
        <v>44286</v>
      </c>
      <c r="AE10" s="2">
        <f t="shared" si="2"/>
        <v>44105</v>
      </c>
      <c r="AF10" s="2">
        <f t="shared" si="7"/>
        <v>44469</v>
      </c>
      <c r="AG10" s="2">
        <f t="shared" si="8"/>
        <v>44105</v>
      </c>
      <c r="AH10" s="2">
        <v>44286</v>
      </c>
      <c r="AI10" s="6">
        <f t="shared" si="6"/>
        <v>181</v>
      </c>
    </row>
    <row r="11" spans="1:35" customFormat="1" x14ac:dyDescent="0.35">
      <c r="A11" s="26"/>
      <c r="B11" s="26"/>
      <c r="C11" s="28" t="s">
        <v>108</v>
      </c>
      <c r="D11" s="18">
        <f>SUMIF(D$22:D$204,$D$13,U$22:U$204)</f>
        <v>288.37476290581969</v>
      </c>
      <c r="E11" s="26" t="s">
        <v>176</v>
      </c>
      <c r="F11" s="32"/>
      <c r="G11" s="26"/>
      <c r="H11" s="26"/>
      <c r="I11" s="26"/>
      <c r="J11" s="26"/>
      <c r="K11" s="26"/>
      <c r="L11" s="26"/>
      <c r="M11" s="26"/>
      <c r="N11" s="26"/>
      <c r="O11" s="26"/>
      <c r="P11" s="26"/>
      <c r="Q11" s="26"/>
      <c r="R11" s="26"/>
      <c r="S11" s="26"/>
      <c r="T11" s="26"/>
      <c r="U11" s="26"/>
      <c r="V11" s="3" t="s">
        <v>110</v>
      </c>
      <c r="W11" s="3" t="s">
        <v>111</v>
      </c>
      <c r="X11" s="4">
        <f t="shared" si="3"/>
        <v>44044</v>
      </c>
      <c r="Y11" s="4">
        <v>44227</v>
      </c>
      <c r="Z11" s="7">
        <f t="shared" si="4"/>
        <v>183</v>
      </c>
      <c r="AA11" s="4">
        <f t="shared" si="0"/>
        <v>44228</v>
      </c>
      <c r="AB11" s="4">
        <f t="shared" si="1"/>
        <v>44286</v>
      </c>
      <c r="AC11" s="4">
        <f t="shared" si="5"/>
        <v>44287</v>
      </c>
      <c r="AD11" s="4">
        <v>44469</v>
      </c>
      <c r="AE11" s="4">
        <f t="shared" si="2"/>
        <v>44287</v>
      </c>
      <c r="AF11" s="4">
        <f t="shared" si="7"/>
        <v>44651</v>
      </c>
      <c r="AG11" s="4">
        <f t="shared" si="8"/>
        <v>44287</v>
      </c>
      <c r="AH11" s="4">
        <v>44469</v>
      </c>
      <c r="AI11" s="7">
        <f t="shared" si="6"/>
        <v>182</v>
      </c>
    </row>
    <row r="12" spans="1:35" customFormat="1" x14ac:dyDescent="0.35">
      <c r="A12" s="26"/>
      <c r="B12" s="26"/>
      <c r="C12" s="28" t="s">
        <v>112</v>
      </c>
      <c r="D12" s="18">
        <f>SUMIF(D$22:D$204,$D$13,V$22:V$204)</f>
        <v>259.53728661523775</v>
      </c>
      <c r="E12" s="26" t="s">
        <v>176</v>
      </c>
      <c r="F12" s="32"/>
      <c r="G12" s="26"/>
      <c r="H12" s="26"/>
      <c r="I12" s="26"/>
      <c r="J12" s="26"/>
      <c r="K12" s="26"/>
      <c r="L12" s="26"/>
      <c r="M12" s="26"/>
      <c r="N12" s="26"/>
      <c r="O12" s="26"/>
      <c r="P12" s="26"/>
      <c r="Q12" s="26"/>
      <c r="R12" s="26"/>
      <c r="S12" s="26"/>
      <c r="T12" s="26"/>
      <c r="U12" s="26"/>
      <c r="V12" s="1" t="s">
        <v>114</v>
      </c>
      <c r="W12" s="1" t="s">
        <v>115</v>
      </c>
      <c r="X12" s="2">
        <f t="shared" si="3"/>
        <v>44228</v>
      </c>
      <c r="Y12" s="2">
        <v>44408</v>
      </c>
      <c r="Z12" s="6">
        <f t="shared" si="4"/>
        <v>180</v>
      </c>
      <c r="AA12" s="2">
        <f t="shared" si="0"/>
        <v>44409</v>
      </c>
      <c r="AB12" s="2">
        <f t="shared" si="1"/>
        <v>44469</v>
      </c>
      <c r="AC12" s="2">
        <f t="shared" si="5"/>
        <v>44470</v>
      </c>
      <c r="AD12" s="2">
        <v>44651</v>
      </c>
      <c r="AE12" s="2">
        <f t="shared" si="2"/>
        <v>44470</v>
      </c>
      <c r="AF12" s="2">
        <f t="shared" si="7"/>
        <v>44834</v>
      </c>
      <c r="AG12" s="2">
        <f t="shared" si="8"/>
        <v>44470</v>
      </c>
      <c r="AH12" s="2">
        <v>44651</v>
      </c>
      <c r="AI12" s="6">
        <f t="shared" si="6"/>
        <v>181</v>
      </c>
    </row>
    <row r="13" spans="1:35" customFormat="1" x14ac:dyDescent="0.35">
      <c r="A13" s="26"/>
      <c r="B13" s="26"/>
      <c r="C13" s="26" t="s">
        <v>14</v>
      </c>
      <c r="D13" s="30">
        <f>'Gas Calculations'!C4</f>
        <v>44762</v>
      </c>
      <c r="E13" s="27"/>
      <c r="F13" s="26"/>
      <c r="G13" s="26"/>
      <c r="H13" s="26"/>
      <c r="I13" s="26"/>
      <c r="J13" s="26"/>
      <c r="K13" s="26"/>
      <c r="L13" s="26"/>
      <c r="M13" s="26"/>
      <c r="N13" s="26"/>
      <c r="O13" s="26"/>
      <c r="P13" s="26"/>
      <c r="Q13" s="26"/>
      <c r="R13" s="26"/>
      <c r="S13" s="26"/>
      <c r="T13" s="26"/>
      <c r="U13" s="26"/>
      <c r="V13" s="3" t="s">
        <v>116</v>
      </c>
      <c r="W13" s="3" t="s">
        <v>117</v>
      </c>
      <c r="X13" s="4">
        <f t="shared" si="3"/>
        <v>44409</v>
      </c>
      <c r="Y13" s="4">
        <v>44592</v>
      </c>
      <c r="Z13" s="7">
        <f t="shared" si="4"/>
        <v>183</v>
      </c>
      <c r="AA13" s="4">
        <f t="shared" si="0"/>
        <v>44593</v>
      </c>
      <c r="AB13" s="4">
        <f t="shared" si="1"/>
        <v>44651</v>
      </c>
      <c r="AC13" s="4">
        <f t="shared" si="5"/>
        <v>44652</v>
      </c>
      <c r="AD13" s="4">
        <v>44834</v>
      </c>
      <c r="AE13" s="4">
        <f t="shared" si="2"/>
        <v>44652</v>
      </c>
      <c r="AF13" s="4">
        <f t="shared" si="7"/>
        <v>45016</v>
      </c>
      <c r="AG13" s="4">
        <f t="shared" si="8"/>
        <v>44652</v>
      </c>
      <c r="AH13" s="4">
        <v>44834</v>
      </c>
      <c r="AI13" s="7">
        <f t="shared" si="6"/>
        <v>182</v>
      </c>
    </row>
    <row r="14" spans="1:35" customFormat="1" x14ac:dyDescent="0.35">
      <c r="A14" s="26"/>
      <c r="B14" s="26"/>
      <c r="C14" s="26"/>
      <c r="D14" s="26"/>
      <c r="E14" s="27"/>
      <c r="F14" s="26"/>
      <c r="G14" s="26"/>
      <c r="H14" s="26"/>
      <c r="I14" s="26"/>
      <c r="J14" s="26"/>
      <c r="K14" s="26"/>
      <c r="L14" s="26"/>
      <c r="M14" s="26"/>
      <c r="N14" s="26"/>
      <c r="O14" s="26"/>
      <c r="P14" s="26"/>
      <c r="Q14" s="26"/>
      <c r="R14" s="26"/>
      <c r="S14" s="26"/>
      <c r="T14" s="26"/>
      <c r="U14" s="26"/>
      <c r="V14" s="1" t="s">
        <v>118</v>
      </c>
      <c r="W14" s="1" t="s">
        <v>119</v>
      </c>
      <c r="X14" s="2">
        <f t="shared" si="3"/>
        <v>44593</v>
      </c>
      <c r="Y14" s="2">
        <v>44773</v>
      </c>
      <c r="Z14" s="6">
        <f t="shared" si="4"/>
        <v>180</v>
      </c>
      <c r="AA14" s="2">
        <f t="shared" si="0"/>
        <v>44774</v>
      </c>
      <c r="AB14" s="2">
        <f t="shared" si="1"/>
        <v>44834</v>
      </c>
      <c r="AC14" s="2">
        <f t="shared" si="5"/>
        <v>44835</v>
      </c>
      <c r="AD14" s="2">
        <v>45016</v>
      </c>
      <c r="AE14" s="2">
        <f t="shared" si="2"/>
        <v>44835</v>
      </c>
      <c r="AF14" s="2">
        <f t="shared" si="7"/>
        <v>45199</v>
      </c>
      <c r="AG14" s="2">
        <f t="shared" si="8"/>
        <v>44835</v>
      </c>
      <c r="AH14" s="2">
        <v>45016</v>
      </c>
      <c r="AI14" s="6">
        <f t="shared" si="6"/>
        <v>181</v>
      </c>
    </row>
    <row r="15" spans="1:35" customFormat="1" x14ac:dyDescent="0.35">
      <c r="A15" s="26"/>
      <c r="B15" s="26"/>
      <c r="C15" s="26"/>
      <c r="D15" s="26" t="s">
        <v>101</v>
      </c>
      <c r="E15" s="26" t="s">
        <v>105</v>
      </c>
      <c r="F15" s="26"/>
      <c r="G15" s="26"/>
      <c r="H15" s="26"/>
      <c r="I15" s="26"/>
      <c r="J15" s="26"/>
      <c r="K15" s="26"/>
      <c r="L15" s="26"/>
      <c r="M15" s="26"/>
      <c r="N15" s="26"/>
      <c r="O15" s="26"/>
      <c r="P15" s="26"/>
      <c r="Q15" s="26"/>
      <c r="R15" s="26"/>
      <c r="S15" s="26"/>
      <c r="T15" s="26"/>
      <c r="U15" s="26"/>
      <c r="V15" s="3" t="s">
        <v>120</v>
      </c>
      <c r="W15" s="3" t="s">
        <v>121</v>
      </c>
      <c r="X15" s="4">
        <f t="shared" si="3"/>
        <v>44774</v>
      </c>
      <c r="Y15" s="4">
        <v>44957</v>
      </c>
      <c r="Z15" s="7">
        <f t="shared" si="4"/>
        <v>183</v>
      </c>
      <c r="AA15" s="4">
        <f t="shared" si="0"/>
        <v>44958</v>
      </c>
      <c r="AB15" s="4">
        <f t="shared" si="1"/>
        <v>45016</v>
      </c>
      <c r="AC15" s="4">
        <f t="shared" si="5"/>
        <v>45017</v>
      </c>
      <c r="AD15" s="4">
        <v>45199</v>
      </c>
      <c r="AE15" s="4">
        <f t="shared" si="2"/>
        <v>45017</v>
      </c>
      <c r="AF15" s="4">
        <v>45382</v>
      </c>
      <c r="AG15" s="4">
        <f t="shared" si="8"/>
        <v>45017</v>
      </c>
      <c r="AH15" s="4">
        <v>45199</v>
      </c>
      <c r="AI15" s="7">
        <f t="shared" si="6"/>
        <v>182</v>
      </c>
    </row>
    <row r="16" spans="1:35" x14ac:dyDescent="0.35">
      <c r="B16" s="26"/>
      <c r="C16" s="26" t="s">
        <v>122</v>
      </c>
      <c r="D16" s="31">
        <v>0.42918465416463569</v>
      </c>
      <c r="E16" s="31">
        <v>0.57081534583536431</v>
      </c>
      <c r="F16" s="26"/>
      <c r="G16" s="26"/>
      <c r="H16" s="26"/>
      <c r="I16" s="26"/>
      <c r="J16" s="26"/>
      <c r="K16" s="26"/>
      <c r="L16" s="26"/>
      <c r="M16" s="26"/>
      <c r="N16" s="26"/>
      <c r="O16" s="26"/>
      <c r="P16" s="26"/>
      <c r="Q16" s="26"/>
      <c r="R16" s="26"/>
      <c r="S16" s="26"/>
      <c r="T16" s="26"/>
      <c r="U16" s="26"/>
    </row>
    <row r="17" spans="2:25" x14ac:dyDescent="0.35">
      <c r="B17" s="26"/>
      <c r="C17" s="26" t="s">
        <v>58</v>
      </c>
      <c r="D17" s="31">
        <v>0.24292945617678946</v>
      </c>
      <c r="E17" s="31">
        <v>0.75707054382320926</v>
      </c>
      <c r="F17" s="29"/>
      <c r="G17" s="29"/>
      <c r="H17" s="29"/>
      <c r="I17" s="29"/>
      <c r="J17" s="29"/>
      <c r="K17" s="26"/>
      <c r="L17" s="26"/>
      <c r="M17" s="26"/>
      <c r="N17" s="26"/>
      <c r="O17" s="35"/>
      <c r="P17" s="26"/>
      <c r="Q17" s="26"/>
      <c r="R17" s="26"/>
      <c r="S17" s="26"/>
      <c r="T17" s="26"/>
      <c r="U17" s="26"/>
    </row>
    <row r="18" spans="2:25" ht="32.15" customHeight="1" x14ac:dyDescent="0.35">
      <c r="B18" s="26"/>
      <c r="C18" s="87" t="s">
        <v>123</v>
      </c>
      <c r="D18" s="87"/>
      <c r="E18" s="26">
        <v>51</v>
      </c>
      <c r="F18" s="29"/>
      <c r="G18" s="29"/>
      <c r="H18" s="29"/>
      <c r="I18" s="29"/>
      <c r="J18" s="29"/>
      <c r="K18" s="26"/>
      <c r="L18" s="26"/>
      <c r="M18" s="26"/>
      <c r="N18" s="26"/>
      <c r="O18" s="35"/>
      <c r="P18" s="26"/>
      <c r="Q18" s="26"/>
      <c r="R18" s="26"/>
      <c r="S18" s="26"/>
      <c r="T18" s="26"/>
      <c r="U18" s="26"/>
    </row>
    <row r="19" spans="2:25" ht="45.65" customHeight="1" x14ac:dyDescent="0.35">
      <c r="B19" s="26"/>
      <c r="C19" s="87" t="s">
        <v>124</v>
      </c>
      <c r="D19" s="87"/>
      <c r="E19" s="26">
        <v>242</v>
      </c>
      <c r="F19" s="29"/>
      <c r="G19" s="29"/>
      <c r="H19" s="29"/>
      <c r="I19" s="29"/>
      <c r="J19" s="29"/>
      <c r="K19" s="26"/>
      <c r="L19" s="26"/>
      <c r="M19" s="26"/>
      <c r="N19" s="26"/>
      <c r="O19" s="35"/>
      <c r="P19" s="26"/>
      <c r="Q19" s="26"/>
      <c r="R19" s="26"/>
      <c r="S19" s="26"/>
      <c r="T19" s="26"/>
      <c r="U19" s="26"/>
    </row>
    <row r="20" spans="2:25" ht="275.5" customHeight="1" x14ac:dyDescent="0.35">
      <c r="B20" s="26"/>
      <c r="C20" s="26"/>
      <c r="D20" s="26"/>
      <c r="E20" s="26"/>
      <c r="F20" s="26"/>
      <c r="G20" s="26"/>
      <c r="H20" s="26"/>
      <c r="I20" s="26"/>
      <c r="J20" s="26"/>
      <c r="K20" s="26"/>
      <c r="L20" s="26"/>
      <c r="M20" s="26"/>
      <c r="N20" s="26"/>
      <c r="O20" s="26"/>
      <c r="P20" s="26"/>
      <c r="Q20" s="26"/>
      <c r="R20" s="26"/>
      <c r="S20" s="26"/>
      <c r="T20" s="26"/>
      <c r="U20" s="26"/>
    </row>
    <row r="21" spans="2:25" ht="17.5" x14ac:dyDescent="0.45">
      <c r="B21" t="s">
        <v>125</v>
      </c>
      <c r="C21" s="17" t="s">
        <v>13</v>
      </c>
      <c r="D21" s="17" t="s">
        <v>14</v>
      </c>
      <c r="E21" s="17" t="s">
        <v>126</v>
      </c>
      <c r="F21" s="17" t="s">
        <v>127</v>
      </c>
      <c r="G21" s="17" t="s">
        <v>128</v>
      </c>
      <c r="H21" s="17" t="s">
        <v>129</v>
      </c>
      <c r="I21" s="17" t="s">
        <v>130</v>
      </c>
      <c r="J21" s="17" t="s">
        <v>131</v>
      </c>
      <c r="K21" s="17" t="s">
        <v>132</v>
      </c>
      <c r="L21" s="17" t="s">
        <v>133</v>
      </c>
      <c r="M21" s="17" t="s">
        <v>134</v>
      </c>
      <c r="N21" s="17" t="s">
        <v>135</v>
      </c>
      <c r="O21" s="17" t="s">
        <v>20</v>
      </c>
      <c r="P21" s="17" t="s">
        <v>136</v>
      </c>
      <c r="Q21" s="17" t="s">
        <v>137</v>
      </c>
      <c r="R21" s="17" t="s">
        <v>138</v>
      </c>
      <c r="S21" s="17" t="s">
        <v>139</v>
      </c>
      <c r="T21" s="59" t="s">
        <v>140</v>
      </c>
      <c r="U21" s="17" t="s">
        <v>141</v>
      </c>
      <c r="V21" s="59" t="s">
        <v>142</v>
      </c>
      <c r="W21" s="17" t="s">
        <v>143</v>
      </c>
    </row>
    <row r="22" spans="2:25" x14ac:dyDescent="0.35">
      <c r="B22">
        <v>1</v>
      </c>
      <c r="C22" s="16" t="str">
        <f t="shared" ref="C22:C85" si="9">TEXT(D22,"ddd")</f>
        <v>Fri</v>
      </c>
      <c r="D22" s="12">
        <v>44652</v>
      </c>
      <c r="E22">
        <f>$AI$13</f>
        <v>182</v>
      </c>
      <c r="F22" s="61">
        <f>$E$19</f>
        <v>242</v>
      </c>
      <c r="G22" s="61">
        <f>$E$18</f>
        <v>51</v>
      </c>
      <c r="H22" s="61">
        <f>B22</f>
        <v>1</v>
      </c>
      <c r="I22" s="61">
        <f>IF(D22&lt;$D$71,0,B22-49)</f>
        <v>0</v>
      </c>
      <c r="J22" s="61">
        <f>IF(D22&lt;$D$175,0,B22-153)</f>
        <v>0</v>
      </c>
      <c r="K22" s="11">
        <f>E22/F22</f>
        <v>0.75206611570247939</v>
      </c>
      <c r="L22" s="11">
        <f>K22*$D$9</f>
        <v>0.18269901249659373</v>
      </c>
      <c r="M22" s="11">
        <f>(G22+0.5*(H22-I22)+(I22-J22))/F22</f>
        <v>0.21280991735537191</v>
      </c>
      <c r="N22" s="11">
        <f>M22*$D$10</f>
        <v>0.16111211986320365</v>
      </c>
      <c r="O22" s="11">
        <f>J22/F22</f>
        <v>0</v>
      </c>
      <c r="P22" s="11">
        <f>O22*$D$9</f>
        <v>0</v>
      </c>
      <c r="Q22" s="20">
        <f>SUM(L22,N22,P22)</f>
        <v>0.34381113235979738</v>
      </c>
      <c r="R22" s="20">
        <f>(L22/Q22)+(N22/Q22)+(P22/Q22)</f>
        <v>1</v>
      </c>
      <c r="S22" s="5">
        <f>((PCc*L22)+(PCn*N22)+(PCn_2*P22))/(L22+N22+P22)</f>
        <v>216.28725025672321</v>
      </c>
      <c r="T22" s="5">
        <f>S22*'Gas Calculations'!LSLT</f>
        <v>194.6585252310509</v>
      </c>
      <c r="U22" s="5" t="s">
        <v>23</v>
      </c>
      <c r="V22" s="5" t="s">
        <v>23</v>
      </c>
      <c r="W22" s="62">
        <f>K22+M22+O22</f>
        <v>0.9648760330578513</v>
      </c>
      <c r="X22" s="36"/>
      <c r="Y22" s="34"/>
    </row>
    <row r="23" spans="2:25" x14ac:dyDescent="0.35">
      <c r="B23">
        <v>2</v>
      </c>
      <c r="C23" s="16" t="str">
        <f t="shared" si="9"/>
        <v>Sat</v>
      </c>
      <c r="D23" s="12">
        <v>44653</v>
      </c>
      <c r="E23">
        <f t="shared" ref="E23:E27" si="10">$AH$13-D23</f>
        <v>181</v>
      </c>
      <c r="F23" s="61">
        <f t="shared" ref="F23:F86" si="11">$E$19</f>
        <v>242</v>
      </c>
      <c r="G23" s="61">
        <f t="shared" ref="G23:G86" si="12">$E$18</f>
        <v>51</v>
      </c>
      <c r="H23" s="61">
        <f t="shared" ref="H23:H86" si="13">B23</f>
        <v>2</v>
      </c>
      <c r="I23" s="61">
        <f t="shared" ref="I23:I86" si="14">IF(D23&lt;$D$71,0,B23-49)</f>
        <v>0</v>
      </c>
      <c r="J23" s="61">
        <f t="shared" ref="J23:J86" si="15">IF(D23&lt;$D$175,0,B23-153)</f>
        <v>0</v>
      </c>
      <c r="K23" s="11">
        <f>E23/F23</f>
        <v>0.74793388429752061</v>
      </c>
      <c r="L23" s="11">
        <f t="shared" ref="L23:L86" si="16">K23*$D$9</f>
        <v>0.18169517176859046</v>
      </c>
      <c r="M23" s="11">
        <f t="shared" ref="M23:M86" si="17">(G23+0.5*(H23-I23)+(I23-J23))/F23</f>
        <v>0.21487603305785125</v>
      </c>
      <c r="N23" s="11">
        <f t="shared" ref="N23:N86" si="18">M23*$D$10</f>
        <v>0.16267631520168133</v>
      </c>
      <c r="O23" s="11">
        <f>J23/F23</f>
        <v>0</v>
      </c>
      <c r="P23" s="11">
        <f t="shared" ref="P23:P86" si="19">O23*$D$9</f>
        <v>0</v>
      </c>
      <c r="Q23" s="20">
        <f t="shared" ref="Q23:Q86" si="20">SUM(L23,N23,P23)</f>
        <v>0.34437148697027176</v>
      </c>
      <c r="R23" s="20">
        <f t="shared" ref="R23:R86" si="21">(L23/Q23)+(N23/Q23)+(P23/Q23)</f>
        <v>1</v>
      </c>
      <c r="S23" s="5">
        <f>((PCc*L23)+(PCn*N23)+(PCn_2*P23))/(L23+N23+P23)</f>
        <v>217.02621295158593</v>
      </c>
      <c r="T23" s="5">
        <f>S23*'Gas Calculations'!LSLT</f>
        <v>195.32359165642734</v>
      </c>
      <c r="U23" s="5" t="s">
        <v>23</v>
      </c>
      <c r="V23" s="5" t="s">
        <v>23</v>
      </c>
      <c r="W23" s="62">
        <f>K23+M23+O23</f>
        <v>0.96280991735537191</v>
      </c>
      <c r="X23" s="36"/>
      <c r="Y23" s="34"/>
    </row>
    <row r="24" spans="2:25" x14ac:dyDescent="0.35">
      <c r="B24">
        <v>3</v>
      </c>
      <c r="C24" s="16" t="str">
        <f t="shared" si="9"/>
        <v>Sun</v>
      </c>
      <c r="D24" s="12">
        <v>44654</v>
      </c>
      <c r="E24">
        <f t="shared" si="10"/>
        <v>180</v>
      </c>
      <c r="F24" s="61">
        <f t="shared" si="11"/>
        <v>242</v>
      </c>
      <c r="G24" s="61">
        <f t="shared" si="12"/>
        <v>51</v>
      </c>
      <c r="H24" s="61">
        <f t="shared" si="13"/>
        <v>3</v>
      </c>
      <c r="I24" s="61">
        <f t="shared" si="14"/>
        <v>0</v>
      </c>
      <c r="J24" s="61">
        <f t="shared" si="15"/>
        <v>0</v>
      </c>
      <c r="K24" s="11">
        <f>E24/F24</f>
        <v>0.74380165289256195</v>
      </c>
      <c r="L24" s="11">
        <f t="shared" si="16"/>
        <v>0.18069133104058718</v>
      </c>
      <c r="M24" s="11">
        <f t="shared" si="17"/>
        <v>0.21694214876033058</v>
      </c>
      <c r="N24" s="11">
        <f t="shared" si="18"/>
        <v>0.16424051054015903</v>
      </c>
      <c r="O24" s="11">
        <f>J24/F24</f>
        <v>0</v>
      </c>
      <c r="P24" s="11">
        <f t="shared" si="19"/>
        <v>0</v>
      </c>
      <c r="Q24" s="20">
        <f>SUM(L24,N24,P24)</f>
        <v>0.34493184158074619</v>
      </c>
      <c r="R24" s="20">
        <f t="shared" si="21"/>
        <v>1</v>
      </c>
      <c r="S24" s="5">
        <f t="shared" ref="S24:S53" si="22">((PCc*L24)+(PCn*N24)+(PCn_2*P24))/(L24+N24+P24)</f>
        <v>217.76277470166409</v>
      </c>
      <c r="T24" s="5">
        <f>S24*'Gas Calculations'!LSLT</f>
        <v>195.98649723149768</v>
      </c>
      <c r="U24" s="5">
        <f>AVERAGE(S22)</f>
        <v>216.28725025672321</v>
      </c>
      <c r="V24" s="5">
        <f>AVERAGE(T22)</f>
        <v>194.6585252310509</v>
      </c>
      <c r="W24" s="62">
        <f t="shared" ref="W24:W86" si="23">K24+M24+O24</f>
        <v>0.96074380165289253</v>
      </c>
      <c r="X24" s="36"/>
      <c r="Y24" s="34"/>
    </row>
    <row r="25" spans="2:25" x14ac:dyDescent="0.35">
      <c r="B25">
        <v>4</v>
      </c>
      <c r="C25" s="16" t="str">
        <f t="shared" si="9"/>
        <v>Mon</v>
      </c>
      <c r="D25" s="12">
        <v>44655</v>
      </c>
      <c r="E25">
        <f t="shared" si="10"/>
        <v>179</v>
      </c>
      <c r="F25" s="61">
        <f t="shared" si="11"/>
        <v>242</v>
      </c>
      <c r="G25" s="61">
        <f t="shared" si="12"/>
        <v>51</v>
      </c>
      <c r="H25" s="61">
        <f t="shared" si="13"/>
        <v>4</v>
      </c>
      <c r="I25" s="61">
        <f t="shared" si="14"/>
        <v>0</v>
      </c>
      <c r="J25" s="61">
        <f t="shared" si="15"/>
        <v>0</v>
      </c>
      <c r="K25" s="11">
        <f>E25/F25</f>
        <v>0.73966942148760328</v>
      </c>
      <c r="L25" s="11">
        <f t="shared" si="16"/>
        <v>0.17968749031258394</v>
      </c>
      <c r="M25" s="11">
        <f t="shared" si="17"/>
        <v>0.21900826446280991</v>
      </c>
      <c r="N25" s="11">
        <f t="shared" si="18"/>
        <v>0.16580470587863674</v>
      </c>
      <c r="O25" s="11">
        <f>J25/F25</f>
        <v>0</v>
      </c>
      <c r="P25" s="11">
        <f t="shared" si="19"/>
        <v>0</v>
      </c>
      <c r="Q25" s="20">
        <f t="shared" si="20"/>
        <v>0.34549219619122068</v>
      </c>
      <c r="R25" s="20">
        <f t="shared" si="21"/>
        <v>1</v>
      </c>
      <c r="S25" s="5">
        <f t="shared" si="22"/>
        <v>218.49694718925176</v>
      </c>
      <c r="T25" s="5">
        <f>S25*'Gas Calculations'!LSLT</f>
        <v>196.64725247032658</v>
      </c>
      <c r="U25" s="5">
        <f>U24</f>
        <v>216.28725025672321</v>
      </c>
      <c r="V25" s="5">
        <f>V24</f>
        <v>194.6585252310509</v>
      </c>
      <c r="W25" s="62">
        <f t="shared" si="23"/>
        <v>0.95867768595041314</v>
      </c>
      <c r="X25" s="36"/>
      <c r="Y25" s="34"/>
    </row>
    <row r="26" spans="2:25" x14ac:dyDescent="0.35">
      <c r="B26">
        <v>5</v>
      </c>
      <c r="C26" s="16" t="str">
        <f t="shared" si="9"/>
        <v>Tue</v>
      </c>
      <c r="D26" s="12">
        <v>44656</v>
      </c>
      <c r="E26">
        <f t="shared" si="10"/>
        <v>178</v>
      </c>
      <c r="F26" s="61">
        <f t="shared" si="11"/>
        <v>242</v>
      </c>
      <c r="G26" s="61">
        <f t="shared" si="12"/>
        <v>51</v>
      </c>
      <c r="H26" s="61">
        <f t="shared" si="13"/>
        <v>5</v>
      </c>
      <c r="I26" s="61">
        <f t="shared" si="14"/>
        <v>0</v>
      </c>
      <c r="J26" s="61">
        <f t="shared" si="15"/>
        <v>0</v>
      </c>
      <c r="K26" s="11">
        <f>E26/F26</f>
        <v>0.73553719008264462</v>
      </c>
      <c r="L26" s="11">
        <f>K26*$D$9</f>
        <v>0.17868364958458066</v>
      </c>
      <c r="M26" s="11">
        <f t="shared" si="17"/>
        <v>0.22107438016528927</v>
      </c>
      <c r="N26" s="11">
        <f t="shared" si="18"/>
        <v>0.16736890121711445</v>
      </c>
      <c r="O26" s="11">
        <f>J26/F26</f>
        <v>0</v>
      </c>
      <c r="P26" s="11">
        <f t="shared" si="19"/>
        <v>0</v>
      </c>
      <c r="Q26" s="20">
        <f t="shared" si="20"/>
        <v>0.34605255080169511</v>
      </c>
      <c r="R26" s="20">
        <f t="shared" si="21"/>
        <v>1</v>
      </c>
      <c r="S26" s="5">
        <f t="shared" si="22"/>
        <v>219.2287420209756</v>
      </c>
      <c r="T26" s="5">
        <f>S26*'Gas Calculations'!LSLT</f>
        <v>197.30586781887806</v>
      </c>
      <c r="U26" s="5">
        <f>U24</f>
        <v>216.28725025672321</v>
      </c>
      <c r="V26" s="5">
        <f>V24</f>
        <v>194.6585252310509</v>
      </c>
      <c r="W26" s="62">
        <f t="shared" si="23"/>
        <v>0.95661157024793386</v>
      </c>
    </row>
    <row r="27" spans="2:25" x14ac:dyDescent="0.35">
      <c r="B27">
        <v>6</v>
      </c>
      <c r="C27" s="16" t="str">
        <f t="shared" si="9"/>
        <v>Wed</v>
      </c>
      <c r="D27" s="12">
        <v>44657</v>
      </c>
      <c r="E27">
        <f t="shared" si="10"/>
        <v>177</v>
      </c>
      <c r="F27" s="61">
        <f t="shared" si="11"/>
        <v>242</v>
      </c>
      <c r="G27" s="61">
        <f t="shared" si="12"/>
        <v>51</v>
      </c>
      <c r="H27" s="61">
        <f t="shared" si="13"/>
        <v>6</v>
      </c>
      <c r="I27" s="61">
        <f t="shared" si="14"/>
        <v>0</v>
      </c>
      <c r="J27" s="61">
        <f t="shared" si="15"/>
        <v>0</v>
      </c>
      <c r="K27" s="11">
        <f t="shared" ref="K27:K86" si="24">E27/F27</f>
        <v>0.73140495867768596</v>
      </c>
      <c r="L27" s="11">
        <f t="shared" si="16"/>
        <v>0.17767980885657741</v>
      </c>
      <c r="M27" s="11">
        <f t="shared" si="17"/>
        <v>0.2231404958677686</v>
      </c>
      <c r="N27" s="11">
        <f t="shared" si="18"/>
        <v>0.16893309655559216</v>
      </c>
      <c r="O27" s="11">
        <f t="shared" ref="O27:O86" si="25">J27/F27</f>
        <v>0</v>
      </c>
      <c r="P27" s="11">
        <f t="shared" si="19"/>
        <v>0</v>
      </c>
      <c r="Q27" s="20">
        <f t="shared" si="20"/>
        <v>0.3466129054121696</v>
      </c>
      <c r="R27" s="20">
        <f t="shared" si="21"/>
        <v>1</v>
      </c>
      <c r="S27" s="5">
        <f t="shared" si="22"/>
        <v>219.95817072840649</v>
      </c>
      <c r="T27" s="5">
        <f>S27*'Gas Calculations'!LSLT</f>
        <v>197.96235365556583</v>
      </c>
      <c r="U27" s="5">
        <f>U24</f>
        <v>216.28725025672321</v>
      </c>
      <c r="V27" s="5">
        <f>V24</f>
        <v>194.6585252310509</v>
      </c>
      <c r="W27" s="62">
        <f t="shared" si="23"/>
        <v>0.95454545454545459</v>
      </c>
    </row>
    <row r="28" spans="2:25" x14ac:dyDescent="0.35">
      <c r="B28">
        <v>7</v>
      </c>
      <c r="C28" s="16" t="str">
        <f t="shared" si="9"/>
        <v>Thu</v>
      </c>
      <c r="D28" s="12">
        <v>44658</v>
      </c>
      <c r="E28">
        <f>$AH$13-D28</f>
        <v>176</v>
      </c>
      <c r="F28" s="61">
        <f t="shared" si="11"/>
        <v>242</v>
      </c>
      <c r="G28" s="61">
        <f t="shared" si="12"/>
        <v>51</v>
      </c>
      <c r="H28" s="61">
        <f t="shared" si="13"/>
        <v>7</v>
      </c>
      <c r="I28" s="61">
        <f t="shared" si="14"/>
        <v>0</v>
      </c>
      <c r="J28" s="61">
        <f t="shared" si="15"/>
        <v>0</v>
      </c>
      <c r="K28" s="11">
        <f t="shared" si="24"/>
        <v>0.72727272727272729</v>
      </c>
      <c r="L28" s="11">
        <f t="shared" si="16"/>
        <v>0.17667596812857417</v>
      </c>
      <c r="M28" s="11">
        <f>(G28+0.5*(H28-I28)+(I28-J28))/F28</f>
        <v>0.22520661157024793</v>
      </c>
      <c r="N28" s="11">
        <f t="shared" si="18"/>
        <v>0.17049729189406984</v>
      </c>
      <c r="O28" s="11">
        <f t="shared" si="25"/>
        <v>0</v>
      </c>
      <c r="P28" s="11">
        <f t="shared" si="19"/>
        <v>0</v>
      </c>
      <c r="Q28" s="20">
        <f t="shared" si="20"/>
        <v>0.34717326002264404</v>
      </c>
      <c r="R28" s="20">
        <f t="shared" si="21"/>
        <v>0.99999999999999989</v>
      </c>
      <c r="S28" s="5">
        <f t="shared" si="22"/>
        <v>220.68524476866514</v>
      </c>
      <c r="T28" s="5">
        <f>S28*'Gas Calculations'!LSLT</f>
        <v>198.61672029179863</v>
      </c>
      <c r="U28" s="5">
        <f>U24</f>
        <v>216.28725025672321</v>
      </c>
      <c r="V28" s="5">
        <f>V24</f>
        <v>194.6585252310509</v>
      </c>
      <c r="W28" s="62">
        <f t="shared" si="23"/>
        <v>0.9524793388429752</v>
      </c>
    </row>
    <row r="29" spans="2:25" x14ac:dyDescent="0.35">
      <c r="B29">
        <v>8</v>
      </c>
      <c r="C29" s="16" t="str">
        <f t="shared" si="9"/>
        <v>Fri</v>
      </c>
      <c r="D29" s="12">
        <v>44659</v>
      </c>
      <c r="E29">
        <f>$AH$13-D29</f>
        <v>175</v>
      </c>
      <c r="F29" s="61">
        <f t="shared" si="11"/>
        <v>242</v>
      </c>
      <c r="G29" s="61">
        <f t="shared" si="12"/>
        <v>51</v>
      </c>
      <c r="H29" s="61">
        <f t="shared" si="13"/>
        <v>8</v>
      </c>
      <c r="I29" s="61">
        <f t="shared" si="14"/>
        <v>0</v>
      </c>
      <c r="J29" s="61">
        <f t="shared" si="15"/>
        <v>0</v>
      </c>
      <c r="K29" s="11">
        <f t="shared" si="24"/>
        <v>0.72314049586776863</v>
      </c>
      <c r="L29" s="11">
        <f t="shared" si="16"/>
        <v>0.17567212740057089</v>
      </c>
      <c r="M29" s="11">
        <f>(G29+0.5*(H29-I29)+(I29-J29))/F29</f>
        <v>0.22727272727272727</v>
      </c>
      <c r="N29" s="11">
        <f t="shared" si="18"/>
        <v>0.17206148723254755</v>
      </c>
      <c r="O29" s="11">
        <f t="shared" si="25"/>
        <v>0</v>
      </c>
      <c r="P29" s="11">
        <f t="shared" si="19"/>
        <v>0</v>
      </c>
      <c r="Q29" s="20">
        <f t="shared" si="20"/>
        <v>0.34773361463311847</v>
      </c>
      <c r="R29" s="20">
        <f t="shared" si="21"/>
        <v>0.99999999999999989</v>
      </c>
      <c r="S29" s="5">
        <f t="shared" si="22"/>
        <v>221.40997552502219</v>
      </c>
      <c r="T29" s="5">
        <f>S29*'Gas Calculations'!LSLT</f>
        <v>199.26897797251996</v>
      </c>
      <c r="U29" s="5">
        <f>U24</f>
        <v>216.28725025672321</v>
      </c>
      <c r="V29" s="5">
        <f>V24</f>
        <v>194.6585252310509</v>
      </c>
      <c r="W29" s="62">
        <f t="shared" si="23"/>
        <v>0.95041322314049592</v>
      </c>
    </row>
    <row r="30" spans="2:25" x14ac:dyDescent="0.35">
      <c r="B30">
        <v>9</v>
      </c>
      <c r="C30" s="16" t="str">
        <f t="shared" si="9"/>
        <v>Sat</v>
      </c>
      <c r="D30" s="12">
        <v>44660</v>
      </c>
      <c r="E30">
        <f>$AH$13-D30</f>
        <v>174</v>
      </c>
      <c r="F30" s="61">
        <f t="shared" si="11"/>
        <v>242</v>
      </c>
      <c r="G30" s="61">
        <f t="shared" si="12"/>
        <v>51</v>
      </c>
      <c r="H30" s="61">
        <f t="shared" si="13"/>
        <v>9</v>
      </c>
      <c r="I30" s="61">
        <f t="shared" si="14"/>
        <v>0</v>
      </c>
      <c r="J30" s="61">
        <f t="shared" si="15"/>
        <v>0</v>
      </c>
      <c r="K30" s="11">
        <f t="shared" si="24"/>
        <v>0.71900826446280997</v>
      </c>
      <c r="L30" s="11">
        <f t="shared" si="16"/>
        <v>0.17466828667256765</v>
      </c>
      <c r="M30" s="11">
        <f t="shared" si="17"/>
        <v>0.22933884297520662</v>
      </c>
      <c r="N30" s="11">
        <f t="shared" si="18"/>
        <v>0.17362568257102529</v>
      </c>
      <c r="O30" s="11">
        <f t="shared" si="25"/>
        <v>0</v>
      </c>
      <c r="P30" s="11">
        <f t="shared" si="19"/>
        <v>0</v>
      </c>
      <c r="Q30" s="20">
        <f t="shared" si="20"/>
        <v>0.3482939692435929</v>
      </c>
      <c r="R30" s="20">
        <f t="shared" si="21"/>
        <v>1</v>
      </c>
      <c r="S30" s="5">
        <f t="shared" si="22"/>
        <v>222.13237430749203</v>
      </c>
      <c r="T30" s="5">
        <f>S30*'Gas Calculations'!LSLT</f>
        <v>199.91913687674284</v>
      </c>
      <c r="U30" s="5">
        <f>U24</f>
        <v>216.28725025672321</v>
      </c>
      <c r="V30" s="5">
        <f>V24</f>
        <v>194.6585252310509</v>
      </c>
      <c r="W30" s="62">
        <f t="shared" si="23"/>
        <v>0.94834710743801653</v>
      </c>
    </row>
    <row r="31" spans="2:25" x14ac:dyDescent="0.35">
      <c r="B31">
        <v>10</v>
      </c>
      <c r="C31" s="16" t="str">
        <f t="shared" si="9"/>
        <v>Sun</v>
      </c>
      <c r="D31" s="12">
        <v>44661</v>
      </c>
      <c r="E31">
        <f t="shared" ref="E31:E94" si="26">$AH$13-D31</f>
        <v>173</v>
      </c>
      <c r="F31" s="61">
        <f t="shared" si="11"/>
        <v>242</v>
      </c>
      <c r="G31" s="61">
        <f t="shared" si="12"/>
        <v>51</v>
      </c>
      <c r="H31" s="61">
        <f t="shared" si="13"/>
        <v>10</v>
      </c>
      <c r="I31" s="61">
        <f t="shared" si="14"/>
        <v>0</v>
      </c>
      <c r="J31" s="61">
        <f t="shared" si="15"/>
        <v>0</v>
      </c>
      <c r="K31" s="11">
        <f t="shared" si="24"/>
        <v>0.71487603305785119</v>
      </c>
      <c r="L31" s="11">
        <f t="shared" si="16"/>
        <v>0.17366444594456434</v>
      </c>
      <c r="M31" s="11">
        <f t="shared" si="17"/>
        <v>0.23140495867768596</v>
      </c>
      <c r="N31" s="11">
        <f t="shared" si="18"/>
        <v>0.17518987790950297</v>
      </c>
      <c r="O31" s="11">
        <f t="shared" si="25"/>
        <v>0</v>
      </c>
      <c r="P31" s="11">
        <f t="shared" si="19"/>
        <v>0</v>
      </c>
      <c r="Q31" s="20">
        <f t="shared" si="20"/>
        <v>0.34885432385406734</v>
      </c>
      <c r="R31" s="20">
        <f t="shared" si="21"/>
        <v>0.99999999999999989</v>
      </c>
      <c r="S31" s="5">
        <f t="shared" si="22"/>
        <v>222.85245235342117</v>
      </c>
      <c r="T31" s="5">
        <f>S31*'Gas Calculations'!LSLT</f>
        <v>200.56720711807907</v>
      </c>
      <c r="U31" s="5">
        <f>AVERAGE(S25:S29)</f>
        <v>219.95581604646424</v>
      </c>
      <c r="V31" s="5">
        <f>AVERAGE(T25:T29)</f>
        <v>197.96023444181782</v>
      </c>
      <c r="W31" s="62">
        <f t="shared" si="23"/>
        <v>0.94628099173553715</v>
      </c>
    </row>
    <row r="32" spans="2:25" x14ac:dyDescent="0.35">
      <c r="B32">
        <v>11</v>
      </c>
      <c r="C32" s="16" t="str">
        <f t="shared" si="9"/>
        <v>Mon</v>
      </c>
      <c r="D32" s="12">
        <v>44662</v>
      </c>
      <c r="E32">
        <f t="shared" si="26"/>
        <v>172</v>
      </c>
      <c r="F32" s="61">
        <f t="shared" si="11"/>
        <v>242</v>
      </c>
      <c r="G32" s="61">
        <f t="shared" si="12"/>
        <v>51</v>
      </c>
      <c r="H32" s="61">
        <f t="shared" si="13"/>
        <v>11</v>
      </c>
      <c r="I32" s="61">
        <f t="shared" si="14"/>
        <v>0</v>
      </c>
      <c r="J32" s="61">
        <f t="shared" si="15"/>
        <v>0</v>
      </c>
      <c r="K32" s="11">
        <f t="shared" si="24"/>
        <v>0.71074380165289253</v>
      </c>
      <c r="L32" s="11">
        <f t="shared" si="16"/>
        <v>0.1726606052165611</v>
      </c>
      <c r="M32" s="11">
        <f t="shared" si="17"/>
        <v>0.23347107438016529</v>
      </c>
      <c r="N32" s="11">
        <f t="shared" si="18"/>
        <v>0.17675407324798068</v>
      </c>
      <c r="O32" s="11">
        <f t="shared" si="25"/>
        <v>0</v>
      </c>
      <c r="P32" s="11">
        <f t="shared" si="19"/>
        <v>0</v>
      </c>
      <c r="Q32" s="20">
        <f t="shared" si="20"/>
        <v>0.34941467846454177</v>
      </c>
      <c r="R32" s="20">
        <f t="shared" si="21"/>
        <v>1</v>
      </c>
      <c r="S32" s="5">
        <f t="shared" si="22"/>
        <v>223.57022082807126</v>
      </c>
      <c r="T32" s="5">
        <f>S32*'Gas Calculations'!LSLT</f>
        <v>201.21319874526412</v>
      </c>
      <c r="U32" s="5">
        <f>U31</f>
        <v>219.95581604646424</v>
      </c>
      <c r="V32" s="5">
        <f>V31</f>
        <v>197.96023444181782</v>
      </c>
      <c r="W32" s="62">
        <f t="shared" si="23"/>
        <v>0.94421487603305776</v>
      </c>
    </row>
    <row r="33" spans="2:23" x14ac:dyDescent="0.35">
      <c r="B33">
        <v>12</v>
      </c>
      <c r="C33" s="16" t="str">
        <f t="shared" si="9"/>
        <v>Tue</v>
      </c>
      <c r="D33" s="12">
        <v>44663</v>
      </c>
      <c r="E33">
        <f t="shared" si="26"/>
        <v>171</v>
      </c>
      <c r="F33" s="61">
        <f t="shared" si="11"/>
        <v>242</v>
      </c>
      <c r="G33" s="61">
        <f t="shared" si="12"/>
        <v>51</v>
      </c>
      <c r="H33" s="61">
        <f t="shared" si="13"/>
        <v>12</v>
      </c>
      <c r="I33" s="61">
        <f t="shared" si="14"/>
        <v>0</v>
      </c>
      <c r="J33" s="61">
        <f t="shared" si="15"/>
        <v>0</v>
      </c>
      <c r="K33" s="11">
        <f t="shared" si="24"/>
        <v>0.70661157024793386</v>
      </c>
      <c r="L33" s="11">
        <f t="shared" si="16"/>
        <v>0.17165676448855782</v>
      </c>
      <c r="M33" s="11">
        <f t="shared" si="17"/>
        <v>0.23553719008264462</v>
      </c>
      <c r="N33" s="11">
        <f t="shared" si="18"/>
        <v>0.17831826858645838</v>
      </c>
      <c r="O33" s="11">
        <f t="shared" si="25"/>
        <v>0</v>
      </c>
      <c r="P33" s="11">
        <f t="shared" si="19"/>
        <v>0</v>
      </c>
      <c r="Q33" s="20">
        <f t="shared" si="20"/>
        <v>0.34997503307501621</v>
      </c>
      <c r="R33" s="20">
        <f t="shared" si="21"/>
        <v>1</v>
      </c>
      <c r="S33" s="5">
        <f t="shared" si="22"/>
        <v>224.28569082519576</v>
      </c>
      <c r="T33" s="5">
        <f>S33*'Gas Calculations'!LSLT</f>
        <v>201.85712174267618</v>
      </c>
      <c r="U33" s="5">
        <f>U31</f>
        <v>219.95581604646424</v>
      </c>
      <c r="V33" s="5">
        <f>V31</f>
        <v>197.96023444181782</v>
      </c>
      <c r="W33" s="62">
        <f t="shared" si="23"/>
        <v>0.94214876033057848</v>
      </c>
    </row>
    <row r="34" spans="2:23" x14ac:dyDescent="0.35">
      <c r="B34">
        <v>13</v>
      </c>
      <c r="C34" s="16" t="str">
        <f t="shared" si="9"/>
        <v>Wed</v>
      </c>
      <c r="D34" s="12">
        <v>44664</v>
      </c>
      <c r="E34">
        <f t="shared" si="26"/>
        <v>170</v>
      </c>
      <c r="F34" s="61">
        <f t="shared" si="11"/>
        <v>242</v>
      </c>
      <c r="G34" s="61">
        <f t="shared" si="12"/>
        <v>51</v>
      </c>
      <c r="H34" s="61">
        <f t="shared" si="13"/>
        <v>13</v>
      </c>
      <c r="I34" s="61">
        <f t="shared" si="14"/>
        <v>0</v>
      </c>
      <c r="J34" s="61">
        <f t="shared" si="15"/>
        <v>0</v>
      </c>
      <c r="K34" s="11">
        <f t="shared" si="24"/>
        <v>0.7024793388429752</v>
      </c>
      <c r="L34" s="11">
        <f t="shared" si="16"/>
        <v>0.17065292376055458</v>
      </c>
      <c r="M34" s="11">
        <f t="shared" si="17"/>
        <v>0.23760330578512398</v>
      </c>
      <c r="N34" s="11">
        <f t="shared" si="18"/>
        <v>0.17988246392493609</v>
      </c>
      <c r="O34" s="11">
        <f t="shared" si="25"/>
        <v>0</v>
      </c>
      <c r="P34" s="11">
        <f t="shared" si="19"/>
        <v>0</v>
      </c>
      <c r="Q34" s="20">
        <f t="shared" si="20"/>
        <v>0.35053538768549064</v>
      </c>
      <c r="R34" s="20">
        <f t="shared" si="21"/>
        <v>1</v>
      </c>
      <c r="S34" s="5">
        <f t="shared" si="22"/>
        <v>224.99887336761171</v>
      </c>
      <c r="T34" s="5">
        <f>S34*'Gas Calculations'!LSLT</f>
        <v>202.49898603085055</v>
      </c>
      <c r="U34" s="5">
        <f>U31</f>
        <v>219.95581604646424</v>
      </c>
      <c r="V34" s="5">
        <f>V31</f>
        <v>197.96023444181782</v>
      </c>
      <c r="W34" s="62">
        <f t="shared" si="23"/>
        <v>0.94008264462809921</v>
      </c>
    </row>
    <row r="35" spans="2:23" x14ac:dyDescent="0.35">
      <c r="B35">
        <v>14</v>
      </c>
      <c r="C35" s="16" t="str">
        <f t="shared" si="9"/>
        <v>Thu</v>
      </c>
      <c r="D35" s="12">
        <v>44665</v>
      </c>
      <c r="E35">
        <f t="shared" si="26"/>
        <v>169</v>
      </c>
      <c r="F35" s="61">
        <f t="shared" si="11"/>
        <v>242</v>
      </c>
      <c r="G35" s="61">
        <f t="shared" si="12"/>
        <v>51</v>
      </c>
      <c r="H35" s="61">
        <f t="shared" si="13"/>
        <v>14</v>
      </c>
      <c r="I35" s="61">
        <f t="shared" si="14"/>
        <v>0</v>
      </c>
      <c r="J35" s="61">
        <f t="shared" si="15"/>
        <v>0</v>
      </c>
      <c r="K35" s="11">
        <f t="shared" si="24"/>
        <v>0.69834710743801653</v>
      </c>
      <c r="L35" s="11">
        <f t="shared" si="16"/>
        <v>0.16964908303255133</v>
      </c>
      <c r="M35" s="11">
        <f t="shared" si="17"/>
        <v>0.23966942148760331</v>
      </c>
      <c r="N35" s="11">
        <f t="shared" si="18"/>
        <v>0.1814466592634138</v>
      </c>
      <c r="O35" s="11">
        <f t="shared" si="25"/>
        <v>0</v>
      </c>
      <c r="P35" s="11">
        <f t="shared" si="19"/>
        <v>0</v>
      </c>
      <c r="Q35" s="20">
        <f t="shared" si="20"/>
        <v>0.35109574229596513</v>
      </c>
      <c r="R35" s="20">
        <f t="shared" si="21"/>
        <v>1</v>
      </c>
      <c r="S35" s="5">
        <f t="shared" si="22"/>
        <v>225.70977940776558</v>
      </c>
      <c r="T35" s="5">
        <f>S35*'Gas Calculations'!LSLT</f>
        <v>203.13880146698904</v>
      </c>
      <c r="U35" s="5">
        <f>U31</f>
        <v>219.95581604646424</v>
      </c>
      <c r="V35" s="5">
        <f>V31</f>
        <v>197.96023444181782</v>
      </c>
      <c r="W35" s="62">
        <f t="shared" si="23"/>
        <v>0.93801652892561982</v>
      </c>
    </row>
    <row r="36" spans="2:23" x14ac:dyDescent="0.35">
      <c r="B36">
        <v>15</v>
      </c>
      <c r="C36" s="16" t="str">
        <f t="shared" si="9"/>
        <v>Fri</v>
      </c>
      <c r="D36" s="68">
        <v>44666</v>
      </c>
      <c r="E36">
        <f t="shared" si="26"/>
        <v>168</v>
      </c>
      <c r="F36" s="61">
        <f t="shared" si="11"/>
        <v>242</v>
      </c>
      <c r="G36" s="61">
        <f t="shared" si="12"/>
        <v>51</v>
      </c>
      <c r="H36" s="61">
        <f t="shared" si="13"/>
        <v>15</v>
      </c>
      <c r="I36" s="61">
        <f t="shared" si="14"/>
        <v>0</v>
      </c>
      <c r="J36" s="61">
        <f t="shared" si="15"/>
        <v>0</v>
      </c>
      <c r="K36" s="11">
        <f t="shared" si="24"/>
        <v>0.69421487603305787</v>
      </c>
      <c r="L36" s="11">
        <f t="shared" si="16"/>
        <v>0.16864524230454805</v>
      </c>
      <c r="M36" s="11">
        <f t="shared" si="17"/>
        <v>0.24173553719008264</v>
      </c>
      <c r="N36" s="11">
        <f t="shared" si="18"/>
        <v>0.18301085460189148</v>
      </c>
      <c r="O36" s="11">
        <f t="shared" si="25"/>
        <v>0</v>
      </c>
      <c r="P36" s="11">
        <f t="shared" si="19"/>
        <v>0</v>
      </c>
      <c r="Q36" s="20">
        <f t="shared" si="20"/>
        <v>0.35165609690643951</v>
      </c>
      <c r="R36" s="20">
        <f t="shared" si="21"/>
        <v>1</v>
      </c>
      <c r="S36" s="5">
        <f t="shared" si="22"/>
        <v>226.41841982829445</v>
      </c>
      <c r="T36" s="5">
        <f>S36*'Gas Calculations'!LSLT</f>
        <v>203.776577845465</v>
      </c>
      <c r="U36" s="5">
        <f>U31</f>
        <v>219.95581604646424</v>
      </c>
      <c r="V36" s="5">
        <f>V31</f>
        <v>197.96023444181782</v>
      </c>
      <c r="W36" s="62">
        <f t="shared" si="23"/>
        <v>0.93595041322314054</v>
      </c>
    </row>
    <row r="37" spans="2:23" x14ac:dyDescent="0.35">
      <c r="B37">
        <v>16</v>
      </c>
      <c r="C37" s="16" t="str">
        <f t="shared" si="9"/>
        <v>Sat</v>
      </c>
      <c r="D37" s="12">
        <v>44667</v>
      </c>
      <c r="E37">
        <f t="shared" si="26"/>
        <v>167</v>
      </c>
      <c r="F37" s="61">
        <f t="shared" si="11"/>
        <v>242</v>
      </c>
      <c r="G37" s="61">
        <f t="shared" si="12"/>
        <v>51</v>
      </c>
      <c r="H37" s="61">
        <f t="shared" si="13"/>
        <v>16</v>
      </c>
      <c r="I37" s="61">
        <f t="shared" si="14"/>
        <v>0</v>
      </c>
      <c r="J37" s="61">
        <f t="shared" si="15"/>
        <v>0</v>
      </c>
      <c r="K37" s="11">
        <f t="shared" si="24"/>
        <v>0.69008264462809921</v>
      </c>
      <c r="L37" s="11">
        <f t="shared" si="16"/>
        <v>0.16764140157654481</v>
      </c>
      <c r="M37" s="11">
        <f t="shared" si="17"/>
        <v>0.24380165289256198</v>
      </c>
      <c r="N37" s="11">
        <f t="shared" si="18"/>
        <v>0.18457504994036919</v>
      </c>
      <c r="O37" s="11">
        <f t="shared" si="25"/>
        <v>0</v>
      </c>
      <c r="P37" s="11">
        <f t="shared" si="19"/>
        <v>0</v>
      </c>
      <c r="Q37" s="20">
        <f t="shared" si="20"/>
        <v>0.352216451516914</v>
      </c>
      <c r="R37" s="20">
        <f t="shared" si="21"/>
        <v>1</v>
      </c>
      <c r="S37" s="5">
        <f t="shared" si="22"/>
        <v>227.12480544258071</v>
      </c>
      <c r="T37" s="5">
        <f>S37*'Gas Calculations'!LSLT</f>
        <v>204.41232489832265</v>
      </c>
      <c r="U37" s="5">
        <f>U31</f>
        <v>219.95581604646424</v>
      </c>
      <c r="V37" s="5">
        <f>V31</f>
        <v>197.96023444181782</v>
      </c>
      <c r="W37" s="62">
        <f t="shared" si="23"/>
        <v>0.93388429752066116</v>
      </c>
    </row>
    <row r="38" spans="2:23" x14ac:dyDescent="0.35">
      <c r="B38">
        <v>17</v>
      </c>
      <c r="C38" s="16" t="str">
        <f t="shared" si="9"/>
        <v>Sun</v>
      </c>
      <c r="D38" s="12">
        <v>44668</v>
      </c>
      <c r="E38">
        <f t="shared" si="26"/>
        <v>166</v>
      </c>
      <c r="F38" s="61">
        <f t="shared" si="11"/>
        <v>242</v>
      </c>
      <c r="G38" s="61">
        <f t="shared" si="12"/>
        <v>51</v>
      </c>
      <c r="H38" s="61">
        <f t="shared" si="13"/>
        <v>17</v>
      </c>
      <c r="I38" s="61">
        <f t="shared" si="14"/>
        <v>0</v>
      </c>
      <c r="J38" s="61">
        <f t="shared" si="15"/>
        <v>0</v>
      </c>
      <c r="K38" s="11">
        <f t="shared" si="24"/>
        <v>0.68595041322314054</v>
      </c>
      <c r="L38" s="11">
        <f t="shared" si="16"/>
        <v>0.16663756084854153</v>
      </c>
      <c r="M38" s="11">
        <f t="shared" si="17"/>
        <v>0.24586776859504134</v>
      </c>
      <c r="N38" s="11">
        <f t="shared" si="18"/>
        <v>0.18613924527884693</v>
      </c>
      <c r="O38" s="11">
        <f t="shared" si="25"/>
        <v>0</v>
      </c>
      <c r="P38" s="11">
        <f t="shared" si="19"/>
        <v>0</v>
      </c>
      <c r="Q38" s="20">
        <f t="shared" si="20"/>
        <v>0.35277680612738849</v>
      </c>
      <c r="R38" s="20">
        <f t="shared" si="21"/>
        <v>1</v>
      </c>
      <c r="S38" s="5">
        <f t="shared" si="22"/>
        <v>227.82894699530246</v>
      </c>
      <c r="T38" s="5">
        <f>S38*'Gas Calculations'!LSLT</f>
        <v>205.04605229577223</v>
      </c>
      <c r="U38" s="5">
        <f>AVERAGE(S32:S35)</f>
        <v>224.64114110716108</v>
      </c>
      <c r="V38" s="5">
        <f>AVERAGE(T32:T35)</f>
        <v>202.17702699644497</v>
      </c>
      <c r="W38" s="62">
        <f t="shared" si="23"/>
        <v>0.93181818181818188</v>
      </c>
    </row>
    <row r="39" spans="2:23" x14ac:dyDescent="0.35">
      <c r="B39">
        <v>18</v>
      </c>
      <c r="C39" s="16" t="str">
        <f t="shared" si="9"/>
        <v>Mon</v>
      </c>
      <c r="D39" s="68">
        <v>44669</v>
      </c>
      <c r="E39">
        <f t="shared" si="26"/>
        <v>165</v>
      </c>
      <c r="F39" s="61">
        <f t="shared" si="11"/>
        <v>242</v>
      </c>
      <c r="G39" s="61">
        <f t="shared" si="12"/>
        <v>51</v>
      </c>
      <c r="H39" s="61">
        <f t="shared" si="13"/>
        <v>18</v>
      </c>
      <c r="I39" s="61">
        <f t="shared" si="14"/>
        <v>0</v>
      </c>
      <c r="J39" s="61">
        <f t="shared" si="15"/>
        <v>0</v>
      </c>
      <c r="K39" s="11">
        <f t="shared" si="24"/>
        <v>0.68181818181818177</v>
      </c>
      <c r="L39" s="11">
        <f t="shared" si="16"/>
        <v>0.16563372012053826</v>
      </c>
      <c r="M39" s="11">
        <f t="shared" si="17"/>
        <v>0.24793388429752067</v>
      </c>
      <c r="N39" s="11">
        <f t="shared" si="18"/>
        <v>0.18770344061732461</v>
      </c>
      <c r="O39" s="11">
        <f t="shared" si="25"/>
        <v>0</v>
      </c>
      <c r="P39" s="11">
        <f t="shared" si="19"/>
        <v>0</v>
      </c>
      <c r="Q39" s="20">
        <f t="shared" si="20"/>
        <v>0.35333716073786287</v>
      </c>
      <c r="R39" s="20">
        <f t="shared" si="21"/>
        <v>1</v>
      </c>
      <c r="S39" s="5">
        <f t="shared" si="22"/>
        <v>228.53085516297824</v>
      </c>
      <c r="T39" s="5">
        <f>S39*'Gas Calculations'!LSLT</f>
        <v>205.67776964668042</v>
      </c>
      <c r="U39" s="5">
        <f>U38</f>
        <v>224.64114110716108</v>
      </c>
      <c r="V39" s="5">
        <f>V38</f>
        <v>202.17702699644497</v>
      </c>
      <c r="W39" s="62">
        <f t="shared" si="23"/>
        <v>0.92975206611570238</v>
      </c>
    </row>
    <row r="40" spans="2:23" x14ac:dyDescent="0.35">
      <c r="B40">
        <v>19</v>
      </c>
      <c r="C40" s="16" t="str">
        <f t="shared" si="9"/>
        <v>Tue</v>
      </c>
      <c r="D40" s="12">
        <v>44670</v>
      </c>
      <c r="E40">
        <f t="shared" si="26"/>
        <v>164</v>
      </c>
      <c r="F40" s="61">
        <f t="shared" si="11"/>
        <v>242</v>
      </c>
      <c r="G40" s="61">
        <f t="shared" si="12"/>
        <v>51</v>
      </c>
      <c r="H40" s="61">
        <f t="shared" si="13"/>
        <v>19</v>
      </c>
      <c r="I40" s="61">
        <f t="shared" si="14"/>
        <v>0</v>
      </c>
      <c r="J40" s="61">
        <f t="shared" si="15"/>
        <v>0</v>
      </c>
      <c r="K40" s="11">
        <f t="shared" si="24"/>
        <v>0.6776859504132231</v>
      </c>
      <c r="L40" s="11">
        <f t="shared" si="16"/>
        <v>0.16462987939253498</v>
      </c>
      <c r="M40" s="11">
        <f t="shared" si="17"/>
        <v>0.25</v>
      </c>
      <c r="N40" s="11">
        <f t="shared" si="18"/>
        <v>0.18926763595580232</v>
      </c>
      <c r="O40" s="11">
        <f t="shared" si="25"/>
        <v>0</v>
      </c>
      <c r="P40" s="11">
        <f t="shared" si="19"/>
        <v>0</v>
      </c>
      <c r="Q40" s="20">
        <f t="shared" si="20"/>
        <v>0.3538975153483373</v>
      </c>
      <c r="R40" s="20">
        <f t="shared" si="21"/>
        <v>1</v>
      </c>
      <c r="S40" s="5">
        <f t="shared" si="22"/>
        <v>229.23054055450652</v>
      </c>
      <c r="T40" s="5">
        <f>S40*'Gas Calculations'!LSLT</f>
        <v>206.30748649905587</v>
      </c>
      <c r="U40" s="5">
        <f>U38</f>
        <v>224.64114110716108</v>
      </c>
      <c r="V40" s="5">
        <f>V38</f>
        <v>202.17702699644497</v>
      </c>
      <c r="W40" s="62">
        <f t="shared" si="23"/>
        <v>0.9276859504132231</v>
      </c>
    </row>
    <row r="41" spans="2:23" x14ac:dyDescent="0.35">
      <c r="B41">
        <v>20</v>
      </c>
      <c r="C41" s="16" t="str">
        <f t="shared" si="9"/>
        <v>Wed</v>
      </c>
      <c r="D41" s="12">
        <v>44671</v>
      </c>
      <c r="E41">
        <f t="shared" si="26"/>
        <v>163</v>
      </c>
      <c r="F41" s="61">
        <f t="shared" si="11"/>
        <v>242</v>
      </c>
      <c r="G41" s="61">
        <f t="shared" si="12"/>
        <v>51</v>
      </c>
      <c r="H41" s="61">
        <f t="shared" si="13"/>
        <v>20</v>
      </c>
      <c r="I41" s="61">
        <f t="shared" si="14"/>
        <v>0</v>
      </c>
      <c r="J41" s="61">
        <f t="shared" si="15"/>
        <v>0</v>
      </c>
      <c r="K41" s="11">
        <f t="shared" si="24"/>
        <v>0.67355371900826444</v>
      </c>
      <c r="L41" s="11">
        <f t="shared" si="16"/>
        <v>0.16362603866453174</v>
      </c>
      <c r="M41" s="11">
        <f t="shared" si="17"/>
        <v>0.25206611570247933</v>
      </c>
      <c r="N41" s="11">
        <f t="shared" si="18"/>
        <v>0.19083183129428002</v>
      </c>
      <c r="O41" s="11">
        <f t="shared" si="25"/>
        <v>0</v>
      </c>
      <c r="P41" s="11">
        <f t="shared" si="19"/>
        <v>0</v>
      </c>
      <c r="Q41" s="20">
        <f t="shared" si="20"/>
        <v>0.35445786995881179</v>
      </c>
      <c r="R41" s="20">
        <f t="shared" si="21"/>
        <v>1</v>
      </c>
      <c r="S41" s="5">
        <f t="shared" si="22"/>
        <v>229.92801371170029</v>
      </c>
      <c r="T41" s="5">
        <f>S41*'Gas Calculations'!LSLT</f>
        <v>206.93521234053026</v>
      </c>
      <c r="U41" s="5">
        <f>U38</f>
        <v>224.64114110716108</v>
      </c>
      <c r="V41" s="5">
        <f>V38</f>
        <v>202.17702699644497</v>
      </c>
      <c r="W41" s="62">
        <f t="shared" si="23"/>
        <v>0.92561983471074383</v>
      </c>
    </row>
    <row r="42" spans="2:23" x14ac:dyDescent="0.35">
      <c r="B42">
        <v>21</v>
      </c>
      <c r="C42" s="16" t="str">
        <f t="shared" si="9"/>
        <v>Thu</v>
      </c>
      <c r="D42" s="12">
        <v>44672</v>
      </c>
      <c r="E42">
        <f t="shared" si="26"/>
        <v>162</v>
      </c>
      <c r="F42" s="61">
        <f t="shared" si="11"/>
        <v>242</v>
      </c>
      <c r="G42" s="61">
        <f t="shared" si="12"/>
        <v>51</v>
      </c>
      <c r="H42" s="61">
        <f t="shared" si="13"/>
        <v>21</v>
      </c>
      <c r="I42" s="61">
        <f t="shared" si="14"/>
        <v>0</v>
      </c>
      <c r="J42" s="61">
        <f t="shared" si="15"/>
        <v>0</v>
      </c>
      <c r="K42" s="11">
        <f t="shared" si="24"/>
        <v>0.66942148760330578</v>
      </c>
      <c r="L42" s="11">
        <f t="shared" si="16"/>
        <v>0.16262219793652849</v>
      </c>
      <c r="M42" s="11">
        <f t="shared" si="17"/>
        <v>0.25413223140495866</v>
      </c>
      <c r="N42" s="11">
        <f t="shared" si="18"/>
        <v>0.19239602663275771</v>
      </c>
      <c r="O42" s="11">
        <f t="shared" si="25"/>
        <v>0</v>
      </c>
      <c r="P42" s="11">
        <f t="shared" si="19"/>
        <v>0</v>
      </c>
      <c r="Q42" s="20">
        <f t="shared" si="20"/>
        <v>0.35501822456928622</v>
      </c>
      <c r="R42" s="20">
        <f t="shared" si="21"/>
        <v>0.99999999999999989</v>
      </c>
      <c r="S42" s="5">
        <f t="shared" si="22"/>
        <v>230.62328510981652</v>
      </c>
      <c r="T42" s="5">
        <f>S42*'Gas Calculations'!LSLT</f>
        <v>207.56095659883488</v>
      </c>
      <c r="U42" s="5">
        <f>U38</f>
        <v>224.64114110716108</v>
      </c>
      <c r="V42" s="5">
        <f>V38</f>
        <v>202.17702699644497</v>
      </c>
      <c r="W42" s="62">
        <f t="shared" si="23"/>
        <v>0.92355371900826444</v>
      </c>
    </row>
    <row r="43" spans="2:23" x14ac:dyDescent="0.35">
      <c r="B43">
        <v>22</v>
      </c>
      <c r="C43" s="16" t="str">
        <f t="shared" si="9"/>
        <v>Fri</v>
      </c>
      <c r="D43" s="12">
        <v>44673</v>
      </c>
      <c r="E43">
        <f t="shared" si="26"/>
        <v>161</v>
      </c>
      <c r="F43" s="61">
        <f t="shared" si="11"/>
        <v>242</v>
      </c>
      <c r="G43" s="61">
        <f t="shared" si="12"/>
        <v>51</v>
      </c>
      <c r="H43" s="61">
        <f t="shared" si="13"/>
        <v>22</v>
      </c>
      <c r="I43" s="61">
        <f t="shared" si="14"/>
        <v>0</v>
      </c>
      <c r="J43" s="61">
        <f t="shared" si="15"/>
        <v>0</v>
      </c>
      <c r="K43" s="11">
        <f t="shared" si="24"/>
        <v>0.66528925619834711</v>
      </c>
      <c r="L43" s="11">
        <f t="shared" si="16"/>
        <v>0.16161835720852522</v>
      </c>
      <c r="M43" s="11">
        <f t="shared" si="17"/>
        <v>0.256198347107438</v>
      </c>
      <c r="N43" s="11">
        <f t="shared" si="18"/>
        <v>0.19396022197123541</v>
      </c>
      <c r="O43" s="11">
        <f t="shared" si="25"/>
        <v>0</v>
      </c>
      <c r="P43" s="11">
        <f t="shared" si="19"/>
        <v>0</v>
      </c>
      <c r="Q43" s="20">
        <f t="shared" si="20"/>
        <v>0.35557857917976066</v>
      </c>
      <c r="R43" s="20">
        <f t="shared" si="21"/>
        <v>0.99999999999999989</v>
      </c>
      <c r="S43" s="5">
        <f t="shared" si="22"/>
        <v>231.3163651580806</v>
      </c>
      <c r="T43" s="5">
        <f>S43*'Gas Calculations'!LSLT</f>
        <v>208.18472864227255</v>
      </c>
      <c r="U43" s="5">
        <f>U38</f>
        <v>224.64114110716108</v>
      </c>
      <c r="V43" s="5">
        <f>V38</f>
        <v>202.17702699644497</v>
      </c>
      <c r="W43" s="62">
        <f t="shared" si="23"/>
        <v>0.92148760330578505</v>
      </c>
    </row>
    <row r="44" spans="2:23" x14ac:dyDescent="0.35">
      <c r="B44">
        <v>23</v>
      </c>
      <c r="C44" s="16" t="str">
        <f t="shared" si="9"/>
        <v>Sat</v>
      </c>
      <c r="D44" s="12">
        <v>44674</v>
      </c>
      <c r="E44">
        <f t="shared" si="26"/>
        <v>160</v>
      </c>
      <c r="F44" s="61">
        <f t="shared" si="11"/>
        <v>242</v>
      </c>
      <c r="G44" s="61">
        <f t="shared" si="12"/>
        <v>51</v>
      </c>
      <c r="H44" s="61">
        <f t="shared" si="13"/>
        <v>23</v>
      </c>
      <c r="I44" s="61">
        <f t="shared" si="14"/>
        <v>0</v>
      </c>
      <c r="J44" s="61">
        <f t="shared" si="15"/>
        <v>0</v>
      </c>
      <c r="K44" s="11">
        <f t="shared" si="24"/>
        <v>0.66115702479338845</v>
      </c>
      <c r="L44" s="11">
        <f t="shared" si="16"/>
        <v>0.16061451648052197</v>
      </c>
      <c r="M44" s="11">
        <f t="shared" si="17"/>
        <v>0.25826446280991733</v>
      </c>
      <c r="N44" s="11">
        <f t="shared" si="18"/>
        <v>0.19552441730971312</v>
      </c>
      <c r="O44" s="11">
        <f t="shared" si="25"/>
        <v>0</v>
      </c>
      <c r="P44" s="11">
        <f t="shared" si="19"/>
        <v>0</v>
      </c>
      <c r="Q44" s="20">
        <f t="shared" si="20"/>
        <v>0.35613893379023509</v>
      </c>
      <c r="R44" s="20">
        <f t="shared" si="21"/>
        <v>1</v>
      </c>
      <c r="S44" s="5">
        <f t="shared" si="22"/>
        <v>232.00726420020567</v>
      </c>
      <c r="T44" s="5">
        <f>S44*'Gas Calculations'!LSLT</f>
        <v>208.8065377801851</v>
      </c>
      <c r="U44" s="5">
        <f>U38</f>
        <v>224.64114110716108</v>
      </c>
      <c r="V44" s="5">
        <f>V38</f>
        <v>202.17702699644497</v>
      </c>
      <c r="W44" s="62">
        <f t="shared" si="23"/>
        <v>0.91942148760330578</v>
      </c>
    </row>
    <row r="45" spans="2:23" x14ac:dyDescent="0.35">
      <c r="B45">
        <v>24</v>
      </c>
      <c r="C45" s="16" t="str">
        <f t="shared" si="9"/>
        <v>Sun</v>
      </c>
      <c r="D45" s="12">
        <v>44675</v>
      </c>
      <c r="E45">
        <f t="shared" si="26"/>
        <v>159</v>
      </c>
      <c r="F45" s="61">
        <f t="shared" si="11"/>
        <v>242</v>
      </c>
      <c r="G45" s="61">
        <f t="shared" si="12"/>
        <v>51</v>
      </c>
      <c r="H45" s="61">
        <f t="shared" si="13"/>
        <v>24</v>
      </c>
      <c r="I45" s="61">
        <f t="shared" si="14"/>
        <v>0</v>
      </c>
      <c r="J45" s="61">
        <f t="shared" si="15"/>
        <v>0</v>
      </c>
      <c r="K45" s="11">
        <f t="shared" si="24"/>
        <v>0.65702479338842978</v>
      </c>
      <c r="L45" s="11">
        <f t="shared" si="16"/>
        <v>0.15961067575251869</v>
      </c>
      <c r="M45" s="11">
        <f t="shared" si="17"/>
        <v>0.26033057851239672</v>
      </c>
      <c r="N45" s="11">
        <f t="shared" si="18"/>
        <v>0.19708861264819086</v>
      </c>
      <c r="O45" s="11">
        <f t="shared" si="25"/>
        <v>0</v>
      </c>
      <c r="P45" s="11">
        <f t="shared" si="19"/>
        <v>0</v>
      </c>
      <c r="Q45" s="20">
        <f t="shared" si="20"/>
        <v>0.35669928840070952</v>
      </c>
      <c r="R45" s="20">
        <f t="shared" si="21"/>
        <v>1</v>
      </c>
      <c r="S45" s="5">
        <f t="shared" si="22"/>
        <v>232.69599251490729</v>
      </c>
      <c r="T45" s="5">
        <f>S45*'Gas Calculations'!LSLT</f>
        <v>209.42639326341657</v>
      </c>
      <c r="U45" s="5">
        <f>AVERAGE(S40:S43)</f>
        <v>230.27455113352596</v>
      </c>
      <c r="V45" s="5">
        <f>AVERAGE(T40:T43)</f>
        <v>207.24709602017339</v>
      </c>
      <c r="W45" s="62">
        <f t="shared" si="23"/>
        <v>0.9173553719008265</v>
      </c>
    </row>
    <row r="46" spans="2:23" x14ac:dyDescent="0.35">
      <c r="B46">
        <v>25</v>
      </c>
      <c r="C46" s="16" t="str">
        <f t="shared" si="9"/>
        <v>Mon</v>
      </c>
      <c r="D46" s="12">
        <v>44676</v>
      </c>
      <c r="E46">
        <f t="shared" si="26"/>
        <v>158</v>
      </c>
      <c r="F46" s="61">
        <f t="shared" si="11"/>
        <v>242</v>
      </c>
      <c r="G46" s="61">
        <f t="shared" si="12"/>
        <v>51</v>
      </c>
      <c r="H46" s="61">
        <f t="shared" si="13"/>
        <v>25</v>
      </c>
      <c r="I46" s="61">
        <f t="shared" si="14"/>
        <v>0</v>
      </c>
      <c r="J46" s="61">
        <f t="shared" si="15"/>
        <v>0</v>
      </c>
      <c r="K46" s="11">
        <f t="shared" si="24"/>
        <v>0.65289256198347112</v>
      </c>
      <c r="L46" s="11">
        <f t="shared" si="16"/>
        <v>0.15860683502451545</v>
      </c>
      <c r="M46" s="11">
        <f t="shared" si="17"/>
        <v>0.26239669421487605</v>
      </c>
      <c r="N46" s="11">
        <f t="shared" si="18"/>
        <v>0.19865280798666857</v>
      </c>
      <c r="O46" s="11">
        <f t="shared" si="25"/>
        <v>0</v>
      </c>
      <c r="P46" s="11">
        <f t="shared" si="19"/>
        <v>0</v>
      </c>
      <c r="Q46" s="20">
        <f t="shared" si="20"/>
        <v>0.35725964301118401</v>
      </c>
      <c r="R46" s="20">
        <f t="shared" si="21"/>
        <v>1</v>
      </c>
      <c r="S46" s="5">
        <f t="shared" si="22"/>
        <v>233.38256031641319</v>
      </c>
      <c r="T46" s="5">
        <f>S46*'Gas Calculations'!LSLT</f>
        <v>210.04430428477187</v>
      </c>
      <c r="U46" s="5">
        <f>U45</f>
        <v>230.27455113352596</v>
      </c>
      <c r="V46" s="5">
        <f>V45</f>
        <v>207.24709602017339</v>
      </c>
      <c r="W46" s="62">
        <f t="shared" si="23"/>
        <v>0.91528925619834722</v>
      </c>
    </row>
    <row r="47" spans="2:23" x14ac:dyDescent="0.35">
      <c r="B47">
        <v>26</v>
      </c>
      <c r="C47" s="16" t="str">
        <f t="shared" si="9"/>
        <v>Tue</v>
      </c>
      <c r="D47" s="12">
        <v>44677</v>
      </c>
      <c r="E47">
        <f t="shared" si="26"/>
        <v>157</v>
      </c>
      <c r="F47" s="61">
        <f t="shared" si="11"/>
        <v>242</v>
      </c>
      <c r="G47" s="61">
        <f t="shared" si="12"/>
        <v>51</v>
      </c>
      <c r="H47" s="61">
        <f t="shared" si="13"/>
        <v>26</v>
      </c>
      <c r="I47" s="61">
        <f t="shared" si="14"/>
        <v>0</v>
      </c>
      <c r="J47" s="61">
        <f t="shared" si="15"/>
        <v>0</v>
      </c>
      <c r="K47" s="11">
        <f t="shared" si="24"/>
        <v>0.64876033057851235</v>
      </c>
      <c r="L47" s="11">
        <f t="shared" si="16"/>
        <v>0.15760299429651214</v>
      </c>
      <c r="M47" s="11">
        <f t="shared" si="17"/>
        <v>0.26446280991735538</v>
      </c>
      <c r="N47" s="11">
        <f t="shared" si="18"/>
        <v>0.20021700332514625</v>
      </c>
      <c r="O47" s="11">
        <f t="shared" si="25"/>
        <v>0</v>
      </c>
      <c r="P47" s="11">
        <f t="shared" si="19"/>
        <v>0</v>
      </c>
      <c r="Q47" s="20">
        <f t="shared" si="20"/>
        <v>0.35781999762165839</v>
      </c>
      <c r="R47" s="20">
        <f t="shared" si="21"/>
        <v>1</v>
      </c>
      <c r="S47" s="5">
        <f t="shared" si="22"/>
        <v>234.06697775496824</v>
      </c>
      <c r="T47" s="5">
        <f>S47*'Gas Calculations'!LSLT</f>
        <v>210.66027997947143</v>
      </c>
      <c r="U47" s="5">
        <f>U45</f>
        <v>230.27455113352596</v>
      </c>
      <c r="V47" s="5">
        <f>V45</f>
        <v>207.24709602017339</v>
      </c>
      <c r="W47" s="62">
        <f t="shared" si="23"/>
        <v>0.91322314049586772</v>
      </c>
    </row>
    <row r="48" spans="2:23" x14ac:dyDescent="0.35">
      <c r="B48">
        <v>27</v>
      </c>
      <c r="C48" s="16" t="str">
        <f t="shared" si="9"/>
        <v>Wed</v>
      </c>
      <c r="D48" s="12">
        <v>44678</v>
      </c>
      <c r="E48">
        <f t="shared" si="26"/>
        <v>156</v>
      </c>
      <c r="F48" s="61">
        <f t="shared" si="11"/>
        <v>242</v>
      </c>
      <c r="G48" s="61">
        <f t="shared" si="12"/>
        <v>51</v>
      </c>
      <c r="H48" s="61">
        <f t="shared" si="13"/>
        <v>27</v>
      </c>
      <c r="I48" s="61">
        <f t="shared" si="14"/>
        <v>0</v>
      </c>
      <c r="J48" s="61">
        <f t="shared" si="15"/>
        <v>0</v>
      </c>
      <c r="K48" s="11">
        <f t="shared" si="24"/>
        <v>0.64462809917355368</v>
      </c>
      <c r="L48" s="11">
        <f t="shared" si="16"/>
        <v>0.1565991535685089</v>
      </c>
      <c r="M48" s="11">
        <f t="shared" si="17"/>
        <v>0.26652892561983471</v>
      </c>
      <c r="N48" s="11">
        <f t="shared" si="18"/>
        <v>0.20178119866362396</v>
      </c>
      <c r="O48" s="11">
        <f t="shared" si="25"/>
        <v>0</v>
      </c>
      <c r="P48" s="11">
        <f t="shared" si="19"/>
        <v>0</v>
      </c>
      <c r="Q48" s="20">
        <f t="shared" si="20"/>
        <v>0.35838035223213283</v>
      </c>
      <c r="R48" s="20">
        <f t="shared" si="21"/>
        <v>1</v>
      </c>
      <c r="S48" s="5">
        <f t="shared" si="22"/>
        <v>234.74925491733467</v>
      </c>
      <c r="T48" s="5">
        <f>S48*'Gas Calculations'!LSLT</f>
        <v>211.27432942560119</v>
      </c>
      <c r="U48" s="5">
        <f>U45</f>
        <v>230.27455113352596</v>
      </c>
      <c r="V48" s="5">
        <f>V45</f>
        <v>207.24709602017339</v>
      </c>
      <c r="W48" s="62">
        <f t="shared" si="23"/>
        <v>0.91115702479338845</v>
      </c>
    </row>
    <row r="49" spans="2:23" x14ac:dyDescent="0.35">
      <c r="B49">
        <v>28</v>
      </c>
      <c r="C49" s="16" t="str">
        <f t="shared" si="9"/>
        <v>Thu</v>
      </c>
      <c r="D49" s="12">
        <v>44679</v>
      </c>
      <c r="E49">
        <f t="shared" si="26"/>
        <v>155</v>
      </c>
      <c r="F49" s="61">
        <f t="shared" si="11"/>
        <v>242</v>
      </c>
      <c r="G49" s="61">
        <f t="shared" si="12"/>
        <v>51</v>
      </c>
      <c r="H49" s="61">
        <f t="shared" si="13"/>
        <v>28</v>
      </c>
      <c r="I49" s="61">
        <f t="shared" si="14"/>
        <v>0</v>
      </c>
      <c r="J49" s="61">
        <f t="shared" si="15"/>
        <v>0</v>
      </c>
      <c r="K49" s="11">
        <f t="shared" si="24"/>
        <v>0.64049586776859502</v>
      </c>
      <c r="L49" s="11">
        <f t="shared" si="16"/>
        <v>0.15559531284050565</v>
      </c>
      <c r="M49" s="11">
        <f t="shared" si="17"/>
        <v>0.26859504132231404</v>
      </c>
      <c r="N49" s="11">
        <f t="shared" si="18"/>
        <v>0.20334539400210166</v>
      </c>
      <c r="O49" s="11">
        <f t="shared" si="25"/>
        <v>0</v>
      </c>
      <c r="P49" s="11">
        <f t="shared" si="19"/>
        <v>0</v>
      </c>
      <c r="Q49" s="20">
        <f t="shared" si="20"/>
        <v>0.35894070684260732</v>
      </c>
      <c r="R49" s="20">
        <f t="shared" si="21"/>
        <v>1</v>
      </c>
      <c r="S49" s="5">
        <f t="shared" si="22"/>
        <v>235.42940182728736</v>
      </c>
      <c r="T49" s="5">
        <f>S49*'Gas Calculations'!LSLT</f>
        <v>211.88646164455864</v>
      </c>
      <c r="U49" s="5">
        <f>U45</f>
        <v>230.27455113352596</v>
      </c>
      <c r="V49" s="5">
        <f>V45</f>
        <v>207.24709602017339</v>
      </c>
      <c r="W49" s="62">
        <f t="shared" si="23"/>
        <v>0.90909090909090906</v>
      </c>
    </row>
    <row r="50" spans="2:23" x14ac:dyDescent="0.35">
      <c r="B50">
        <v>29</v>
      </c>
      <c r="C50" s="16" t="str">
        <f t="shared" si="9"/>
        <v>Fri</v>
      </c>
      <c r="D50" s="12">
        <v>44680</v>
      </c>
      <c r="E50">
        <f t="shared" si="26"/>
        <v>154</v>
      </c>
      <c r="F50" s="61">
        <f t="shared" si="11"/>
        <v>242</v>
      </c>
      <c r="G50" s="61">
        <f t="shared" si="12"/>
        <v>51</v>
      </c>
      <c r="H50" s="61">
        <f t="shared" si="13"/>
        <v>29</v>
      </c>
      <c r="I50" s="61">
        <f t="shared" si="14"/>
        <v>0</v>
      </c>
      <c r="J50" s="61">
        <f t="shared" si="15"/>
        <v>0</v>
      </c>
      <c r="K50" s="11">
        <f t="shared" si="24"/>
        <v>0.63636363636363635</v>
      </c>
      <c r="L50" s="11">
        <f t="shared" si="16"/>
        <v>0.15459147211250238</v>
      </c>
      <c r="M50" s="11">
        <f t="shared" si="17"/>
        <v>0.27066115702479338</v>
      </c>
      <c r="N50" s="11">
        <f t="shared" si="18"/>
        <v>0.20490958934057935</v>
      </c>
      <c r="O50" s="11">
        <f t="shared" si="25"/>
        <v>0</v>
      </c>
      <c r="P50" s="11">
        <f t="shared" si="19"/>
        <v>0</v>
      </c>
      <c r="Q50" s="20">
        <f t="shared" si="20"/>
        <v>0.35950106145308169</v>
      </c>
      <c r="R50" s="20">
        <f t="shared" si="21"/>
        <v>1</v>
      </c>
      <c r="S50" s="5">
        <f t="shared" si="22"/>
        <v>236.10742844610525</v>
      </c>
      <c r="T50" s="5">
        <f>S50*'Gas Calculations'!LSLT</f>
        <v>212.49668560149473</v>
      </c>
      <c r="U50" s="5">
        <f>U45</f>
        <v>230.27455113352596</v>
      </c>
      <c r="V50" s="5">
        <f>V45</f>
        <v>207.24709602017339</v>
      </c>
      <c r="W50" s="62">
        <f t="shared" si="23"/>
        <v>0.90702479338842967</v>
      </c>
    </row>
    <row r="51" spans="2:23" x14ac:dyDescent="0.35">
      <c r="B51">
        <v>30</v>
      </c>
      <c r="C51" s="16" t="str">
        <f t="shared" si="9"/>
        <v>Sat</v>
      </c>
      <c r="D51" s="12">
        <v>44681</v>
      </c>
      <c r="E51">
        <f t="shared" si="26"/>
        <v>153</v>
      </c>
      <c r="F51" s="61">
        <f t="shared" si="11"/>
        <v>242</v>
      </c>
      <c r="G51" s="61">
        <f t="shared" si="12"/>
        <v>51</v>
      </c>
      <c r="H51" s="61">
        <f t="shared" si="13"/>
        <v>30</v>
      </c>
      <c r="I51" s="61">
        <f t="shared" si="14"/>
        <v>0</v>
      </c>
      <c r="J51" s="61">
        <f t="shared" si="15"/>
        <v>0</v>
      </c>
      <c r="K51" s="11">
        <f t="shared" si="24"/>
        <v>0.63223140495867769</v>
      </c>
      <c r="L51" s="11">
        <f t="shared" si="16"/>
        <v>0.15358763138449913</v>
      </c>
      <c r="M51" s="11">
        <f t="shared" si="17"/>
        <v>0.27272727272727271</v>
      </c>
      <c r="N51" s="11">
        <f t="shared" si="18"/>
        <v>0.20647378467905705</v>
      </c>
      <c r="O51" s="11">
        <f t="shared" si="25"/>
        <v>0</v>
      </c>
      <c r="P51" s="11">
        <f t="shared" si="19"/>
        <v>0</v>
      </c>
      <c r="Q51" s="20">
        <f t="shared" si="20"/>
        <v>0.36006141606355618</v>
      </c>
      <c r="R51" s="20">
        <f t="shared" si="21"/>
        <v>1</v>
      </c>
      <c r="S51" s="5">
        <f t="shared" si="22"/>
        <v>236.78334467305694</v>
      </c>
      <c r="T51" s="5">
        <f>S51*'Gas Calculations'!LSLT</f>
        <v>213.10501020575126</v>
      </c>
      <c r="U51" s="5">
        <f>U45</f>
        <v>230.27455113352596</v>
      </c>
      <c r="V51" s="5">
        <f>V45</f>
        <v>207.24709602017339</v>
      </c>
      <c r="W51" s="62">
        <f t="shared" si="23"/>
        <v>0.9049586776859504</v>
      </c>
    </row>
    <row r="52" spans="2:23" x14ac:dyDescent="0.35">
      <c r="B52">
        <v>31</v>
      </c>
      <c r="C52" s="16" t="str">
        <f t="shared" si="9"/>
        <v>Sun</v>
      </c>
      <c r="D52" s="12">
        <v>44682</v>
      </c>
      <c r="E52">
        <f t="shared" si="26"/>
        <v>152</v>
      </c>
      <c r="F52" s="61">
        <f t="shared" si="11"/>
        <v>242</v>
      </c>
      <c r="G52" s="61">
        <f t="shared" si="12"/>
        <v>51</v>
      </c>
      <c r="H52" s="61">
        <f t="shared" si="13"/>
        <v>31</v>
      </c>
      <c r="I52" s="61">
        <f t="shared" si="14"/>
        <v>0</v>
      </c>
      <c r="J52" s="61">
        <f t="shared" si="15"/>
        <v>0</v>
      </c>
      <c r="K52" s="11">
        <f t="shared" si="24"/>
        <v>0.62809917355371903</v>
      </c>
      <c r="L52" s="11">
        <f t="shared" si="16"/>
        <v>0.15258379065649585</v>
      </c>
      <c r="M52" s="11">
        <f t="shared" si="17"/>
        <v>0.27479338842975204</v>
      </c>
      <c r="N52" s="11">
        <f t="shared" si="18"/>
        <v>0.20803798001753476</v>
      </c>
      <c r="O52" s="11">
        <f t="shared" si="25"/>
        <v>0</v>
      </c>
      <c r="P52" s="11">
        <f t="shared" si="19"/>
        <v>0</v>
      </c>
      <c r="Q52" s="20">
        <f t="shared" si="20"/>
        <v>0.36062177067403062</v>
      </c>
      <c r="R52" s="20">
        <f t="shared" si="21"/>
        <v>1</v>
      </c>
      <c r="S52" s="5">
        <f t="shared" si="22"/>
        <v>237.45716034588324</v>
      </c>
      <c r="T52" s="5">
        <f>S52*'Gas Calculations'!LSLT</f>
        <v>213.71144431129491</v>
      </c>
      <c r="U52" s="5">
        <f>AVERAGE(S46:S50)</f>
        <v>234.74712465242175</v>
      </c>
      <c r="V52" s="5">
        <f>AVERAGE(T46:T50)</f>
        <v>211.27241218717955</v>
      </c>
      <c r="W52" s="62">
        <f t="shared" si="23"/>
        <v>0.90289256198347112</v>
      </c>
    </row>
    <row r="53" spans="2:23" x14ac:dyDescent="0.35">
      <c r="B53">
        <v>32</v>
      </c>
      <c r="C53" s="16" t="str">
        <f t="shared" si="9"/>
        <v>Mon</v>
      </c>
      <c r="D53" s="68">
        <v>44683</v>
      </c>
      <c r="E53">
        <f t="shared" si="26"/>
        <v>151</v>
      </c>
      <c r="F53" s="61">
        <f t="shared" si="11"/>
        <v>242</v>
      </c>
      <c r="G53" s="61">
        <f t="shared" si="12"/>
        <v>51</v>
      </c>
      <c r="H53" s="61">
        <f t="shared" si="13"/>
        <v>32</v>
      </c>
      <c r="I53" s="61">
        <f t="shared" si="14"/>
        <v>0</v>
      </c>
      <c r="J53" s="61">
        <f t="shared" si="15"/>
        <v>0</v>
      </c>
      <c r="K53" s="11">
        <f t="shared" si="24"/>
        <v>0.62396694214876036</v>
      </c>
      <c r="L53" s="11">
        <f t="shared" si="16"/>
        <v>0.15157994992849261</v>
      </c>
      <c r="M53" s="11">
        <f t="shared" si="17"/>
        <v>0.27685950413223143</v>
      </c>
      <c r="N53" s="11">
        <f t="shared" si="18"/>
        <v>0.2096021753560125</v>
      </c>
      <c r="O53" s="11">
        <f t="shared" si="25"/>
        <v>0</v>
      </c>
      <c r="P53" s="11">
        <f t="shared" si="19"/>
        <v>0</v>
      </c>
      <c r="Q53" s="20">
        <f t="shared" si="20"/>
        <v>0.36118212528450511</v>
      </c>
      <c r="R53" s="20">
        <f t="shared" si="21"/>
        <v>1</v>
      </c>
      <c r="S53" s="5">
        <f t="shared" si="22"/>
        <v>238.12888524127371</v>
      </c>
      <c r="T53" s="5">
        <f>S53*'Gas Calculations'!LSLT</f>
        <v>214.31599671714633</v>
      </c>
      <c r="U53" s="5">
        <f>U52</f>
        <v>234.74712465242175</v>
      </c>
      <c r="V53" s="5">
        <f>V52</f>
        <v>211.27241218717955</v>
      </c>
      <c r="W53" s="62">
        <f t="shared" si="23"/>
        <v>0.90082644628099184</v>
      </c>
    </row>
    <row r="54" spans="2:23" x14ac:dyDescent="0.35">
      <c r="B54">
        <v>33</v>
      </c>
      <c r="C54" s="16" t="str">
        <f t="shared" si="9"/>
        <v>Tue</v>
      </c>
      <c r="D54" s="12">
        <v>44684</v>
      </c>
      <c r="E54">
        <f t="shared" si="26"/>
        <v>150</v>
      </c>
      <c r="F54" s="61">
        <f t="shared" si="11"/>
        <v>242</v>
      </c>
      <c r="G54" s="61">
        <f t="shared" si="12"/>
        <v>51</v>
      </c>
      <c r="H54" s="61">
        <f t="shared" si="13"/>
        <v>33</v>
      </c>
      <c r="I54" s="61">
        <f t="shared" si="14"/>
        <v>0</v>
      </c>
      <c r="J54" s="61">
        <f t="shared" si="15"/>
        <v>0</v>
      </c>
      <c r="K54" s="11">
        <f t="shared" si="24"/>
        <v>0.6198347107438017</v>
      </c>
      <c r="L54" s="11">
        <f t="shared" si="16"/>
        <v>0.15057610920048933</v>
      </c>
      <c r="M54" s="11">
        <f t="shared" si="17"/>
        <v>0.27892561983471076</v>
      </c>
      <c r="N54" s="11">
        <f t="shared" si="18"/>
        <v>0.21116637069449021</v>
      </c>
      <c r="O54" s="11">
        <f t="shared" si="25"/>
        <v>0</v>
      </c>
      <c r="P54" s="11">
        <f t="shared" si="19"/>
        <v>0</v>
      </c>
      <c r="Q54" s="20">
        <f t="shared" si="20"/>
        <v>0.36174247989497954</v>
      </c>
      <c r="R54" s="20">
        <f t="shared" si="21"/>
        <v>1</v>
      </c>
      <c r="S54" s="5">
        <f t="shared" ref="S54:S85" si="27">((PCc*L54)+(PCn*N54)+(PCn_2*P54))/(L54+N54+P54)</f>
        <v>238.79852907534001</v>
      </c>
      <c r="T54" s="5">
        <f>S54*'Gas Calculations'!LSLT</f>
        <v>214.91867616780601</v>
      </c>
      <c r="U54" s="5">
        <f>U52</f>
        <v>234.74712465242175</v>
      </c>
      <c r="V54" s="5">
        <f>V52</f>
        <v>211.27241218717955</v>
      </c>
      <c r="W54" s="62">
        <f t="shared" si="23"/>
        <v>0.89876033057851246</v>
      </c>
    </row>
    <row r="55" spans="2:23" x14ac:dyDescent="0.35">
      <c r="B55">
        <v>34</v>
      </c>
      <c r="C55" s="16" t="str">
        <f t="shared" si="9"/>
        <v>Wed</v>
      </c>
      <c r="D55" s="12">
        <v>44685</v>
      </c>
      <c r="E55">
        <f t="shared" si="26"/>
        <v>149</v>
      </c>
      <c r="F55" s="61">
        <f t="shared" si="11"/>
        <v>242</v>
      </c>
      <c r="G55" s="61">
        <f t="shared" si="12"/>
        <v>51</v>
      </c>
      <c r="H55" s="61">
        <f t="shared" si="13"/>
        <v>34</v>
      </c>
      <c r="I55" s="61">
        <f t="shared" si="14"/>
        <v>0</v>
      </c>
      <c r="J55" s="61">
        <f t="shared" si="15"/>
        <v>0</v>
      </c>
      <c r="K55" s="11">
        <f t="shared" si="24"/>
        <v>0.61570247933884292</v>
      </c>
      <c r="L55" s="11">
        <f t="shared" si="16"/>
        <v>0.14957226847248606</v>
      </c>
      <c r="M55" s="11">
        <f t="shared" si="17"/>
        <v>0.28099173553719009</v>
      </c>
      <c r="N55" s="11">
        <f t="shared" si="18"/>
        <v>0.21273056603296789</v>
      </c>
      <c r="O55" s="11">
        <f t="shared" si="25"/>
        <v>0</v>
      </c>
      <c r="P55" s="11">
        <f t="shared" si="19"/>
        <v>0</v>
      </c>
      <c r="Q55" s="20">
        <f t="shared" si="20"/>
        <v>0.36230283450545397</v>
      </c>
      <c r="R55" s="20">
        <f t="shared" si="21"/>
        <v>1</v>
      </c>
      <c r="S55" s="5">
        <f t="shared" si="27"/>
        <v>239.46610150408429</v>
      </c>
      <c r="T55" s="5">
        <f>S55*'Gas Calculations'!LSLT</f>
        <v>215.51949135367587</v>
      </c>
      <c r="U55" s="5">
        <f>U52</f>
        <v>234.74712465242175</v>
      </c>
      <c r="V55" s="5">
        <f>V52</f>
        <v>211.27241218717955</v>
      </c>
      <c r="W55" s="62">
        <f t="shared" si="23"/>
        <v>0.89669421487603307</v>
      </c>
    </row>
    <row r="56" spans="2:23" x14ac:dyDescent="0.35">
      <c r="B56">
        <v>35</v>
      </c>
      <c r="C56" s="16" t="str">
        <f t="shared" si="9"/>
        <v>Thu</v>
      </c>
      <c r="D56" s="12">
        <v>44686</v>
      </c>
      <c r="E56">
        <f t="shared" si="26"/>
        <v>148</v>
      </c>
      <c r="F56" s="61">
        <f t="shared" si="11"/>
        <v>242</v>
      </c>
      <c r="G56" s="61">
        <f t="shared" si="12"/>
        <v>51</v>
      </c>
      <c r="H56" s="61">
        <f t="shared" si="13"/>
        <v>35</v>
      </c>
      <c r="I56" s="61">
        <f t="shared" si="14"/>
        <v>0</v>
      </c>
      <c r="J56" s="61">
        <f t="shared" si="15"/>
        <v>0</v>
      </c>
      <c r="K56" s="11">
        <f t="shared" si="24"/>
        <v>0.61157024793388426</v>
      </c>
      <c r="L56" s="11">
        <f t="shared" si="16"/>
        <v>0.14856842774448281</v>
      </c>
      <c r="M56" s="11">
        <f t="shared" si="17"/>
        <v>0.28305785123966942</v>
      </c>
      <c r="N56" s="11">
        <f t="shared" si="18"/>
        <v>0.2142947613714456</v>
      </c>
      <c r="O56" s="11">
        <f t="shared" si="25"/>
        <v>0</v>
      </c>
      <c r="P56" s="11">
        <f t="shared" si="19"/>
        <v>0</v>
      </c>
      <c r="Q56" s="20">
        <f t="shared" si="20"/>
        <v>0.36286318911592841</v>
      </c>
      <c r="R56" s="20">
        <f t="shared" si="21"/>
        <v>1</v>
      </c>
      <c r="S56" s="5">
        <f t="shared" si="27"/>
        <v>240.13161212386316</v>
      </c>
      <c r="T56" s="5">
        <f>S56*'Gas Calculations'!LSLT</f>
        <v>216.11845091147686</v>
      </c>
      <c r="U56" s="5">
        <f>U52</f>
        <v>234.74712465242175</v>
      </c>
      <c r="V56" s="5">
        <f>V52</f>
        <v>211.27241218717955</v>
      </c>
      <c r="W56" s="62">
        <f t="shared" si="23"/>
        <v>0.89462809917355368</v>
      </c>
    </row>
    <row r="57" spans="2:23" x14ac:dyDescent="0.35">
      <c r="B57">
        <v>36</v>
      </c>
      <c r="C57" s="16" t="str">
        <f t="shared" si="9"/>
        <v>Fri</v>
      </c>
      <c r="D57" s="12">
        <v>44687</v>
      </c>
      <c r="E57">
        <f t="shared" si="26"/>
        <v>147</v>
      </c>
      <c r="F57" s="61">
        <f t="shared" si="11"/>
        <v>242</v>
      </c>
      <c r="G57" s="61">
        <f t="shared" si="12"/>
        <v>51</v>
      </c>
      <c r="H57" s="61">
        <f t="shared" si="13"/>
        <v>36</v>
      </c>
      <c r="I57" s="61">
        <f t="shared" si="14"/>
        <v>0</v>
      </c>
      <c r="J57" s="61">
        <f t="shared" si="15"/>
        <v>0</v>
      </c>
      <c r="K57" s="11">
        <f t="shared" si="24"/>
        <v>0.6074380165289256</v>
      </c>
      <c r="L57" s="11">
        <f t="shared" si="16"/>
        <v>0.14756458701647954</v>
      </c>
      <c r="M57" s="11">
        <f t="shared" si="17"/>
        <v>0.28512396694214875</v>
      </c>
      <c r="N57" s="11">
        <f t="shared" si="18"/>
        <v>0.21585895670992331</v>
      </c>
      <c r="O57" s="11">
        <f t="shared" si="25"/>
        <v>0</v>
      </c>
      <c r="P57" s="11">
        <f t="shared" si="19"/>
        <v>0</v>
      </c>
      <c r="Q57" s="20">
        <f t="shared" si="20"/>
        <v>0.36342354372640284</v>
      </c>
      <c r="R57" s="20">
        <f t="shared" si="21"/>
        <v>1</v>
      </c>
      <c r="S57" s="5">
        <f t="shared" si="27"/>
        <v>240.79507047184757</v>
      </c>
      <c r="T57" s="5">
        <f>S57*'Gas Calculations'!LSLT</f>
        <v>216.7155634246628</v>
      </c>
      <c r="U57" s="5">
        <f>U52</f>
        <v>234.74712465242175</v>
      </c>
      <c r="V57" s="5">
        <f>V52</f>
        <v>211.27241218717955</v>
      </c>
      <c r="W57" s="62">
        <f t="shared" si="23"/>
        <v>0.89256198347107429</v>
      </c>
    </row>
    <row r="58" spans="2:23" x14ac:dyDescent="0.35">
      <c r="B58">
        <v>37</v>
      </c>
      <c r="C58" s="16" t="str">
        <f t="shared" si="9"/>
        <v>Sat</v>
      </c>
      <c r="D58" s="12">
        <v>44688</v>
      </c>
      <c r="E58">
        <f t="shared" si="26"/>
        <v>146</v>
      </c>
      <c r="F58" s="61">
        <f t="shared" si="11"/>
        <v>242</v>
      </c>
      <c r="G58" s="61">
        <f t="shared" si="12"/>
        <v>51</v>
      </c>
      <c r="H58" s="61">
        <f t="shared" si="13"/>
        <v>37</v>
      </c>
      <c r="I58" s="61">
        <f t="shared" si="14"/>
        <v>0</v>
      </c>
      <c r="J58" s="61">
        <f t="shared" si="15"/>
        <v>0</v>
      </c>
      <c r="K58" s="11">
        <f t="shared" si="24"/>
        <v>0.60330578512396693</v>
      </c>
      <c r="L58" s="11">
        <f t="shared" si="16"/>
        <v>0.14656074628847629</v>
      </c>
      <c r="M58" s="11">
        <f t="shared" si="17"/>
        <v>0.28719008264462809</v>
      </c>
      <c r="N58" s="11">
        <f t="shared" si="18"/>
        <v>0.21742315204840099</v>
      </c>
      <c r="O58" s="11">
        <f t="shared" si="25"/>
        <v>0</v>
      </c>
      <c r="P58" s="11">
        <f t="shared" si="19"/>
        <v>0</v>
      </c>
      <c r="Q58" s="20">
        <f t="shared" si="20"/>
        <v>0.36398389833687728</v>
      </c>
      <c r="R58" s="20">
        <f t="shared" si="21"/>
        <v>1</v>
      </c>
      <c r="S58" s="5">
        <f t="shared" si="27"/>
        <v>241.45648602647847</v>
      </c>
      <c r="T58" s="5">
        <f>S58*'Gas Calculations'!LSLT</f>
        <v>217.31083742383063</v>
      </c>
      <c r="U58" s="5">
        <f>U52</f>
        <v>234.74712465242175</v>
      </c>
      <c r="V58" s="5">
        <f>V52</f>
        <v>211.27241218717955</v>
      </c>
      <c r="W58" s="62">
        <f t="shared" si="23"/>
        <v>0.89049586776859502</v>
      </c>
    </row>
    <row r="59" spans="2:23" x14ac:dyDescent="0.35">
      <c r="B59">
        <v>38</v>
      </c>
      <c r="C59" s="16" t="str">
        <f t="shared" si="9"/>
        <v>Sun</v>
      </c>
      <c r="D59" s="12">
        <v>44689</v>
      </c>
      <c r="E59">
        <f t="shared" si="26"/>
        <v>145</v>
      </c>
      <c r="F59" s="61">
        <f t="shared" si="11"/>
        <v>242</v>
      </c>
      <c r="G59" s="61">
        <f t="shared" si="12"/>
        <v>51</v>
      </c>
      <c r="H59" s="61">
        <f t="shared" si="13"/>
        <v>38</v>
      </c>
      <c r="I59" s="61">
        <f t="shared" si="14"/>
        <v>0</v>
      </c>
      <c r="J59" s="61">
        <f t="shared" si="15"/>
        <v>0</v>
      </c>
      <c r="K59" s="11">
        <f t="shared" si="24"/>
        <v>0.59917355371900827</v>
      </c>
      <c r="L59" s="11">
        <f t="shared" si="16"/>
        <v>0.14555690556047302</v>
      </c>
      <c r="M59" s="11">
        <f>(G59+0.5*(H59-I59)+(I59-J59))/F59</f>
        <v>0.28925619834710742</v>
      </c>
      <c r="N59" s="11">
        <f t="shared" si="18"/>
        <v>0.21898734738687869</v>
      </c>
      <c r="O59" s="11">
        <f t="shared" si="25"/>
        <v>0</v>
      </c>
      <c r="P59" s="11">
        <f t="shared" si="19"/>
        <v>0</v>
      </c>
      <c r="Q59" s="20">
        <f t="shared" si="20"/>
        <v>0.36454425294735171</v>
      </c>
      <c r="R59" s="20">
        <f t="shared" si="21"/>
        <v>1</v>
      </c>
      <c r="S59" s="5">
        <f t="shared" si="27"/>
        <v>242.1158682079182</v>
      </c>
      <c r="T59" s="5">
        <f>S59*'Gas Calculations'!LSLT</f>
        <v>217.90428138712639</v>
      </c>
      <c r="U59" s="5">
        <f>AVERAGE(S54:S57)</f>
        <v>239.79782829378377</v>
      </c>
      <c r="V59" s="5">
        <f>AVERAGE(T54:T57)</f>
        <v>215.8180454644054</v>
      </c>
      <c r="W59" s="62">
        <f t="shared" si="23"/>
        <v>0.88842975206611574</v>
      </c>
    </row>
    <row r="60" spans="2:23" x14ac:dyDescent="0.35">
      <c r="B60">
        <v>39</v>
      </c>
      <c r="C60" s="16" t="str">
        <f t="shared" si="9"/>
        <v>Mon</v>
      </c>
      <c r="D60" s="12">
        <v>44690</v>
      </c>
      <c r="E60">
        <f t="shared" si="26"/>
        <v>144</v>
      </c>
      <c r="F60" s="61">
        <f t="shared" si="11"/>
        <v>242</v>
      </c>
      <c r="G60" s="61">
        <f t="shared" si="12"/>
        <v>51</v>
      </c>
      <c r="H60" s="61">
        <f t="shared" si="13"/>
        <v>39</v>
      </c>
      <c r="I60" s="61">
        <f t="shared" si="14"/>
        <v>0</v>
      </c>
      <c r="J60" s="61">
        <f t="shared" si="15"/>
        <v>0</v>
      </c>
      <c r="K60" s="11">
        <f t="shared" si="24"/>
        <v>0.5950413223140496</v>
      </c>
      <c r="L60" s="11">
        <f t="shared" si="16"/>
        <v>0.14455306483246977</v>
      </c>
      <c r="M60" s="11">
        <f t="shared" si="17"/>
        <v>0.29132231404958675</v>
      </c>
      <c r="N60" s="11">
        <f t="shared" si="18"/>
        <v>0.2205515427253564</v>
      </c>
      <c r="O60" s="11">
        <f t="shared" si="25"/>
        <v>0</v>
      </c>
      <c r="P60" s="11">
        <f t="shared" si="19"/>
        <v>0</v>
      </c>
      <c r="Q60" s="20">
        <f t="shared" si="20"/>
        <v>0.36510460755782614</v>
      </c>
      <c r="R60" s="20">
        <f t="shared" si="21"/>
        <v>1</v>
      </c>
      <c r="S60" s="5">
        <f t="shared" si="27"/>
        <v>242.7732263784975</v>
      </c>
      <c r="T60" s="5">
        <f>S60*'Gas Calculations'!LSLT</f>
        <v>218.49590374064775</v>
      </c>
      <c r="U60" s="5">
        <f>U59</f>
        <v>239.79782829378377</v>
      </c>
      <c r="V60" s="5">
        <f>V59</f>
        <v>215.8180454644054</v>
      </c>
      <c r="W60" s="62">
        <f t="shared" si="23"/>
        <v>0.88636363636363635</v>
      </c>
    </row>
    <row r="61" spans="2:23" x14ac:dyDescent="0.35">
      <c r="B61">
        <v>40</v>
      </c>
      <c r="C61" s="16" t="str">
        <f t="shared" si="9"/>
        <v>Tue</v>
      </c>
      <c r="D61" s="12">
        <v>44691</v>
      </c>
      <c r="E61">
        <f t="shared" si="26"/>
        <v>143</v>
      </c>
      <c r="F61" s="61">
        <f t="shared" si="11"/>
        <v>242</v>
      </c>
      <c r="G61" s="61">
        <f t="shared" si="12"/>
        <v>51</v>
      </c>
      <c r="H61" s="61">
        <f t="shared" si="13"/>
        <v>40</v>
      </c>
      <c r="I61" s="61">
        <f t="shared" si="14"/>
        <v>0</v>
      </c>
      <c r="J61" s="61">
        <f t="shared" si="15"/>
        <v>0</v>
      </c>
      <c r="K61" s="11">
        <f t="shared" si="24"/>
        <v>0.59090909090909094</v>
      </c>
      <c r="L61" s="11">
        <f t="shared" si="16"/>
        <v>0.14354922410446649</v>
      </c>
      <c r="M61" s="11">
        <f t="shared" si="17"/>
        <v>0.29338842975206614</v>
      </c>
      <c r="N61" s="11">
        <f t="shared" si="18"/>
        <v>0.22211573806383414</v>
      </c>
      <c r="O61" s="11">
        <f t="shared" si="25"/>
        <v>0</v>
      </c>
      <c r="P61" s="11">
        <f t="shared" si="19"/>
        <v>0</v>
      </c>
      <c r="Q61" s="20">
        <f t="shared" si="20"/>
        <v>0.36566496216830063</v>
      </c>
      <c r="R61" s="20">
        <f t="shared" si="21"/>
        <v>1</v>
      </c>
      <c r="S61" s="5">
        <f t="shared" si="27"/>
        <v>243.42856984315895</v>
      </c>
      <c r="T61" s="5">
        <f>S61*'Gas Calculations'!LSLT</f>
        <v>219.08571285884307</v>
      </c>
      <c r="U61" s="5">
        <f>U59</f>
        <v>239.79782829378377</v>
      </c>
      <c r="V61" s="5">
        <f>V59</f>
        <v>215.8180454644054</v>
      </c>
      <c r="W61" s="62">
        <f t="shared" si="23"/>
        <v>0.88429752066115708</v>
      </c>
    </row>
    <row r="62" spans="2:23" x14ac:dyDescent="0.35">
      <c r="B62">
        <v>41</v>
      </c>
      <c r="C62" s="16" t="str">
        <f t="shared" si="9"/>
        <v>Wed</v>
      </c>
      <c r="D62" s="12">
        <v>44692</v>
      </c>
      <c r="E62">
        <f t="shared" si="26"/>
        <v>142</v>
      </c>
      <c r="F62" s="61">
        <f t="shared" si="11"/>
        <v>242</v>
      </c>
      <c r="G62" s="61">
        <f t="shared" si="12"/>
        <v>51</v>
      </c>
      <c r="H62" s="61">
        <f t="shared" si="13"/>
        <v>41</v>
      </c>
      <c r="I62" s="61">
        <f t="shared" si="14"/>
        <v>0</v>
      </c>
      <c r="J62" s="61">
        <f t="shared" si="15"/>
        <v>0</v>
      </c>
      <c r="K62" s="11">
        <f t="shared" si="24"/>
        <v>0.58677685950413228</v>
      </c>
      <c r="L62" s="11">
        <f t="shared" si="16"/>
        <v>0.14254538337646325</v>
      </c>
      <c r="M62" s="11">
        <f t="shared" si="17"/>
        <v>0.29545454545454547</v>
      </c>
      <c r="N62" s="11">
        <f t="shared" si="18"/>
        <v>0.22367993340231185</v>
      </c>
      <c r="O62" s="11">
        <f t="shared" si="25"/>
        <v>0</v>
      </c>
      <c r="P62" s="11">
        <f t="shared" si="19"/>
        <v>0</v>
      </c>
      <c r="Q62" s="20">
        <f t="shared" si="20"/>
        <v>0.36622531677877512</v>
      </c>
      <c r="R62" s="20">
        <f t="shared" si="21"/>
        <v>0.99999999999999989</v>
      </c>
      <c r="S62" s="5">
        <f t="shared" si="27"/>
        <v>244.0819078498958</v>
      </c>
      <c r="T62" s="5">
        <f>S62*'Gas Calculations'!LSLT</f>
        <v>219.67371706490621</v>
      </c>
      <c r="U62" s="5">
        <f>U59</f>
        <v>239.79782829378377</v>
      </c>
      <c r="V62" s="5">
        <f>V59</f>
        <v>215.8180454644054</v>
      </c>
      <c r="W62" s="62">
        <f t="shared" si="23"/>
        <v>0.88223140495867769</v>
      </c>
    </row>
    <row r="63" spans="2:23" x14ac:dyDescent="0.35">
      <c r="B63">
        <v>42</v>
      </c>
      <c r="C63" s="16" t="str">
        <f t="shared" si="9"/>
        <v>Thu</v>
      </c>
      <c r="D63" s="12">
        <v>44693</v>
      </c>
      <c r="E63">
        <f t="shared" si="26"/>
        <v>141</v>
      </c>
      <c r="F63" s="61">
        <f t="shared" si="11"/>
        <v>242</v>
      </c>
      <c r="G63" s="61">
        <f t="shared" si="12"/>
        <v>51</v>
      </c>
      <c r="H63" s="61">
        <f t="shared" si="13"/>
        <v>42</v>
      </c>
      <c r="I63" s="61">
        <f t="shared" si="14"/>
        <v>0</v>
      </c>
      <c r="J63" s="61">
        <f t="shared" si="15"/>
        <v>0</v>
      </c>
      <c r="K63" s="11">
        <f t="shared" si="24"/>
        <v>0.5826446280991735</v>
      </c>
      <c r="L63" s="11">
        <f t="shared" si="16"/>
        <v>0.14154154264845997</v>
      </c>
      <c r="M63" s="11">
        <f t="shared" si="17"/>
        <v>0.2975206611570248</v>
      </c>
      <c r="N63" s="11">
        <f t="shared" si="18"/>
        <v>0.22524412874078953</v>
      </c>
      <c r="O63" s="11">
        <f t="shared" si="25"/>
        <v>0</v>
      </c>
      <c r="P63" s="11">
        <f t="shared" si="19"/>
        <v>0</v>
      </c>
      <c r="Q63" s="20">
        <f t="shared" si="20"/>
        <v>0.3667856713892495</v>
      </c>
      <c r="R63" s="20">
        <f t="shared" si="21"/>
        <v>1</v>
      </c>
      <c r="S63" s="5">
        <f t="shared" si="27"/>
        <v>244.73324959018697</v>
      </c>
      <c r="T63" s="5">
        <f>S63*'Gas Calculations'!LSLT</f>
        <v>220.25992463116827</v>
      </c>
      <c r="U63" s="5">
        <f>U59</f>
        <v>239.79782829378377</v>
      </c>
      <c r="V63" s="5">
        <f>V59</f>
        <v>215.8180454644054</v>
      </c>
      <c r="W63" s="62">
        <f t="shared" si="23"/>
        <v>0.8801652892561983</v>
      </c>
    </row>
    <row r="64" spans="2:23" x14ac:dyDescent="0.35">
      <c r="B64">
        <v>43</v>
      </c>
      <c r="C64" s="16" t="str">
        <f t="shared" si="9"/>
        <v>Fri</v>
      </c>
      <c r="D64" s="12">
        <v>44694</v>
      </c>
      <c r="E64">
        <f t="shared" si="26"/>
        <v>140</v>
      </c>
      <c r="F64" s="61">
        <f t="shared" si="11"/>
        <v>242</v>
      </c>
      <c r="G64" s="61">
        <f t="shared" si="12"/>
        <v>51</v>
      </c>
      <c r="H64" s="61">
        <f t="shared" si="13"/>
        <v>43</v>
      </c>
      <c r="I64" s="61">
        <f t="shared" si="14"/>
        <v>0</v>
      </c>
      <c r="J64" s="61">
        <f t="shared" si="15"/>
        <v>0</v>
      </c>
      <c r="K64" s="11">
        <f t="shared" si="24"/>
        <v>0.57851239669421484</v>
      </c>
      <c r="L64" s="11">
        <f t="shared" si="16"/>
        <v>0.1405377019204567</v>
      </c>
      <c r="M64" s="11">
        <f t="shared" si="17"/>
        <v>0.29958677685950413</v>
      </c>
      <c r="N64" s="11">
        <f t="shared" si="18"/>
        <v>0.22680832407926724</v>
      </c>
      <c r="O64" s="11">
        <f t="shared" si="25"/>
        <v>0</v>
      </c>
      <c r="P64" s="11">
        <f t="shared" si="19"/>
        <v>0</v>
      </c>
      <c r="Q64" s="20">
        <f t="shared" si="20"/>
        <v>0.36734602599972394</v>
      </c>
      <c r="R64" s="20">
        <f t="shared" si="21"/>
        <v>1</v>
      </c>
      <c r="S64" s="5">
        <f t="shared" si="27"/>
        <v>245.38260419942821</v>
      </c>
      <c r="T64" s="5">
        <f>S64*'Gas Calculations'!LSLT</f>
        <v>220.8443437794854</v>
      </c>
      <c r="U64" s="5">
        <f>U59</f>
        <v>239.79782829378377</v>
      </c>
      <c r="V64" s="5">
        <f>V59</f>
        <v>215.8180454644054</v>
      </c>
      <c r="W64" s="62">
        <f t="shared" si="23"/>
        <v>0.87809917355371891</v>
      </c>
    </row>
    <row r="65" spans="2:23" x14ac:dyDescent="0.35">
      <c r="B65">
        <v>44</v>
      </c>
      <c r="C65" s="16" t="str">
        <f t="shared" si="9"/>
        <v>Sat</v>
      </c>
      <c r="D65" s="12">
        <v>44695</v>
      </c>
      <c r="E65">
        <f t="shared" si="26"/>
        <v>139</v>
      </c>
      <c r="F65" s="61">
        <f t="shared" si="11"/>
        <v>242</v>
      </c>
      <c r="G65" s="61">
        <f t="shared" si="12"/>
        <v>51</v>
      </c>
      <c r="H65" s="61">
        <f t="shared" si="13"/>
        <v>44</v>
      </c>
      <c r="I65" s="61">
        <f t="shared" si="14"/>
        <v>0</v>
      </c>
      <c r="J65" s="61">
        <f t="shared" si="15"/>
        <v>0</v>
      </c>
      <c r="K65" s="11">
        <f t="shared" si="24"/>
        <v>0.57438016528925617</v>
      </c>
      <c r="L65" s="11">
        <f t="shared" si="16"/>
        <v>0.13953386119245345</v>
      </c>
      <c r="M65" s="11">
        <f t="shared" si="17"/>
        <v>0.30165289256198347</v>
      </c>
      <c r="N65" s="11">
        <f t="shared" si="18"/>
        <v>0.22837251941774495</v>
      </c>
      <c r="O65" s="11">
        <f t="shared" si="25"/>
        <v>0</v>
      </c>
      <c r="P65" s="11">
        <f t="shared" si="19"/>
        <v>0</v>
      </c>
      <c r="Q65" s="20">
        <f t="shared" si="20"/>
        <v>0.36790638061019842</v>
      </c>
      <c r="R65" s="20">
        <f t="shared" si="21"/>
        <v>1</v>
      </c>
      <c r="S65" s="5">
        <f t="shared" si="27"/>
        <v>246.02998075735906</v>
      </c>
      <c r="T65" s="5">
        <f>S65*'Gas Calculations'!LSLT</f>
        <v>221.42698268162314</v>
      </c>
      <c r="U65" s="5">
        <f>U59</f>
        <v>239.79782829378377</v>
      </c>
      <c r="V65" s="5">
        <f>V59</f>
        <v>215.8180454644054</v>
      </c>
      <c r="W65" s="62">
        <f t="shared" si="23"/>
        <v>0.87603305785123964</v>
      </c>
    </row>
    <row r="66" spans="2:23" x14ac:dyDescent="0.35">
      <c r="B66">
        <v>45</v>
      </c>
      <c r="C66" s="16" t="str">
        <f t="shared" si="9"/>
        <v>Sun</v>
      </c>
      <c r="D66" s="12">
        <v>44696</v>
      </c>
      <c r="E66">
        <f t="shared" si="26"/>
        <v>138</v>
      </c>
      <c r="F66" s="61">
        <f t="shared" si="11"/>
        <v>242</v>
      </c>
      <c r="G66" s="61">
        <f t="shared" si="12"/>
        <v>51</v>
      </c>
      <c r="H66" s="61">
        <f t="shared" si="13"/>
        <v>45</v>
      </c>
      <c r="I66" s="61">
        <f t="shared" si="14"/>
        <v>0</v>
      </c>
      <c r="J66" s="61">
        <f t="shared" si="15"/>
        <v>0</v>
      </c>
      <c r="K66" s="11">
        <f t="shared" si="24"/>
        <v>0.57024793388429751</v>
      </c>
      <c r="L66" s="11">
        <f t="shared" si="16"/>
        <v>0.13853002046445018</v>
      </c>
      <c r="M66" s="11">
        <f t="shared" si="17"/>
        <v>0.3037190082644628</v>
      </c>
      <c r="N66" s="11">
        <f t="shared" si="18"/>
        <v>0.22993671475622263</v>
      </c>
      <c r="O66" s="11">
        <f t="shared" si="25"/>
        <v>0</v>
      </c>
      <c r="P66" s="11">
        <f t="shared" si="19"/>
        <v>0</v>
      </c>
      <c r="Q66" s="20">
        <f t="shared" si="20"/>
        <v>0.3684667352206728</v>
      </c>
      <c r="R66" s="20">
        <f t="shared" si="21"/>
        <v>1</v>
      </c>
      <c r="S66" s="5">
        <f t="shared" si="27"/>
        <v>246.67538828848637</v>
      </c>
      <c r="T66" s="5">
        <f>S66*'Gas Calculations'!LSLT</f>
        <v>222.00784945963775</v>
      </c>
      <c r="U66" s="5">
        <f>AVERAGE(S60:S64)</f>
        <v>244.07991157223347</v>
      </c>
      <c r="V66" s="5">
        <f>AVERAGE(T60:T64)</f>
        <v>219.67192041501016</v>
      </c>
      <c r="W66" s="62">
        <f t="shared" si="23"/>
        <v>0.87396694214876036</v>
      </c>
    </row>
    <row r="67" spans="2:23" x14ac:dyDescent="0.35">
      <c r="B67">
        <v>46</v>
      </c>
      <c r="C67" s="16" t="str">
        <f t="shared" si="9"/>
        <v>Mon</v>
      </c>
      <c r="D67" s="12">
        <v>44697</v>
      </c>
      <c r="E67">
        <f t="shared" si="26"/>
        <v>137</v>
      </c>
      <c r="F67" s="61">
        <f t="shared" si="11"/>
        <v>242</v>
      </c>
      <c r="G67" s="61">
        <f t="shared" si="12"/>
        <v>51</v>
      </c>
      <c r="H67" s="61">
        <f t="shared" si="13"/>
        <v>46</v>
      </c>
      <c r="I67" s="61">
        <f t="shared" si="14"/>
        <v>0</v>
      </c>
      <c r="J67" s="61">
        <f t="shared" si="15"/>
        <v>0</v>
      </c>
      <c r="K67" s="11">
        <f t="shared" si="24"/>
        <v>0.56611570247933884</v>
      </c>
      <c r="L67" s="11">
        <f t="shared" si="16"/>
        <v>0.13752617973644693</v>
      </c>
      <c r="M67" s="11">
        <f t="shared" si="17"/>
        <v>0.30578512396694213</v>
      </c>
      <c r="N67" s="11">
        <f t="shared" si="18"/>
        <v>0.23150091009470034</v>
      </c>
      <c r="O67" s="11">
        <f t="shared" si="25"/>
        <v>0</v>
      </c>
      <c r="P67" s="11">
        <f t="shared" si="19"/>
        <v>0</v>
      </c>
      <c r="Q67" s="20">
        <f t="shared" si="20"/>
        <v>0.36902708983114729</v>
      </c>
      <c r="R67" s="20">
        <f t="shared" si="21"/>
        <v>1</v>
      </c>
      <c r="S67" s="5">
        <f t="shared" si="27"/>
        <v>247.31883576250308</v>
      </c>
      <c r="T67" s="5">
        <f>S67*'Gas Calculations'!LSLT</f>
        <v>222.58695218625277</v>
      </c>
      <c r="U67" s="5">
        <f>U66</f>
        <v>244.07991157223347</v>
      </c>
      <c r="V67" s="5">
        <f>V66</f>
        <v>219.67192041501016</v>
      </c>
      <c r="W67" s="62">
        <f t="shared" si="23"/>
        <v>0.87190082644628097</v>
      </c>
    </row>
    <row r="68" spans="2:23" x14ac:dyDescent="0.35">
      <c r="B68">
        <v>47</v>
      </c>
      <c r="C68" s="16" t="str">
        <f t="shared" si="9"/>
        <v>Tue</v>
      </c>
      <c r="D68" s="12">
        <v>44698</v>
      </c>
      <c r="E68">
        <f t="shared" si="26"/>
        <v>136</v>
      </c>
      <c r="F68" s="61">
        <f t="shared" si="11"/>
        <v>242</v>
      </c>
      <c r="G68" s="61">
        <f t="shared" si="12"/>
        <v>51</v>
      </c>
      <c r="H68" s="61">
        <f t="shared" si="13"/>
        <v>47</v>
      </c>
      <c r="I68" s="61">
        <f t="shared" si="14"/>
        <v>0</v>
      </c>
      <c r="J68" s="61">
        <f t="shared" si="15"/>
        <v>0</v>
      </c>
      <c r="K68" s="11">
        <f t="shared" si="24"/>
        <v>0.56198347107438018</v>
      </c>
      <c r="L68" s="11">
        <f t="shared" si="16"/>
        <v>0.13652233900844365</v>
      </c>
      <c r="M68" s="11">
        <f t="shared" si="17"/>
        <v>0.30785123966942146</v>
      </c>
      <c r="N68" s="11">
        <f t="shared" si="18"/>
        <v>0.23306510543317804</v>
      </c>
      <c r="O68" s="11">
        <f t="shared" si="25"/>
        <v>0</v>
      </c>
      <c r="P68" s="11">
        <f t="shared" si="19"/>
        <v>0</v>
      </c>
      <c r="Q68" s="20">
        <f t="shared" si="20"/>
        <v>0.36958744444162173</v>
      </c>
      <c r="R68" s="20">
        <f t="shared" si="21"/>
        <v>1</v>
      </c>
      <c r="S68" s="5">
        <f t="shared" si="27"/>
        <v>247.96033209470434</v>
      </c>
      <c r="T68" s="5">
        <f>S68*'Gas Calculations'!LSLT</f>
        <v>223.1642988852339</v>
      </c>
      <c r="U68" s="5">
        <f>U66</f>
        <v>244.07991157223347</v>
      </c>
      <c r="V68" s="5">
        <f>V66</f>
        <v>219.67192041501016</v>
      </c>
      <c r="W68" s="62">
        <f t="shared" si="23"/>
        <v>0.86983471074380159</v>
      </c>
    </row>
    <row r="69" spans="2:23" x14ac:dyDescent="0.35">
      <c r="B69">
        <v>48</v>
      </c>
      <c r="C69" s="16" t="str">
        <f t="shared" si="9"/>
        <v>Wed</v>
      </c>
      <c r="D69" s="12">
        <v>44699</v>
      </c>
      <c r="E69">
        <f t="shared" si="26"/>
        <v>135</v>
      </c>
      <c r="F69" s="61">
        <f t="shared" si="11"/>
        <v>242</v>
      </c>
      <c r="G69" s="61">
        <f t="shared" si="12"/>
        <v>51</v>
      </c>
      <c r="H69" s="61">
        <f t="shared" si="13"/>
        <v>48</v>
      </c>
      <c r="I69" s="61">
        <f t="shared" si="14"/>
        <v>0</v>
      </c>
      <c r="J69" s="61">
        <f t="shared" si="15"/>
        <v>0</v>
      </c>
      <c r="K69" s="11">
        <f t="shared" si="24"/>
        <v>0.55785123966942152</v>
      </c>
      <c r="L69" s="11">
        <f t="shared" si="16"/>
        <v>0.13551849828044041</v>
      </c>
      <c r="M69" s="11">
        <f t="shared" si="17"/>
        <v>0.30991735537190085</v>
      </c>
      <c r="N69" s="11">
        <f t="shared" si="18"/>
        <v>0.23462930077165578</v>
      </c>
      <c r="O69" s="11">
        <f t="shared" si="25"/>
        <v>0</v>
      </c>
      <c r="P69" s="11">
        <f t="shared" si="19"/>
        <v>0</v>
      </c>
      <c r="Q69" s="20">
        <f t="shared" si="20"/>
        <v>0.37014779905209616</v>
      </c>
      <c r="R69" s="20">
        <f t="shared" si="21"/>
        <v>1</v>
      </c>
      <c r="S69" s="5">
        <f t="shared" si="27"/>
        <v>248.59988614639889</v>
      </c>
      <c r="T69" s="5">
        <f>S69*'Gas Calculations'!LSLT</f>
        <v>223.739897531759</v>
      </c>
      <c r="U69" s="5">
        <f>U66</f>
        <v>244.07991157223347</v>
      </c>
      <c r="V69" s="5">
        <f>V66</f>
        <v>219.67192041501016</v>
      </c>
      <c r="W69" s="62">
        <f t="shared" si="23"/>
        <v>0.86776859504132231</v>
      </c>
    </row>
    <row r="70" spans="2:23" x14ac:dyDescent="0.35">
      <c r="B70">
        <v>49</v>
      </c>
      <c r="C70" s="16" t="str">
        <f t="shared" si="9"/>
        <v>Thu</v>
      </c>
      <c r="D70" s="12">
        <v>44700</v>
      </c>
      <c r="E70">
        <f t="shared" si="26"/>
        <v>134</v>
      </c>
      <c r="F70" s="61">
        <f t="shared" si="11"/>
        <v>242</v>
      </c>
      <c r="G70" s="61">
        <f t="shared" si="12"/>
        <v>51</v>
      </c>
      <c r="H70" s="61">
        <f t="shared" si="13"/>
        <v>49</v>
      </c>
      <c r="I70" s="61">
        <f t="shared" si="14"/>
        <v>0</v>
      </c>
      <c r="J70" s="61">
        <f t="shared" si="15"/>
        <v>0</v>
      </c>
      <c r="K70" s="11">
        <f t="shared" si="24"/>
        <v>0.55371900826446285</v>
      </c>
      <c r="L70" s="11">
        <f t="shared" si="16"/>
        <v>0.13451465755243716</v>
      </c>
      <c r="M70" s="11">
        <f t="shared" si="17"/>
        <v>0.31198347107438018</v>
      </c>
      <c r="N70" s="11">
        <f t="shared" si="18"/>
        <v>0.23619349611013349</v>
      </c>
      <c r="O70" s="11">
        <f t="shared" si="25"/>
        <v>0</v>
      </c>
      <c r="P70" s="11">
        <f t="shared" si="19"/>
        <v>0</v>
      </c>
      <c r="Q70" s="20">
        <f t="shared" si="20"/>
        <v>0.37070815366257065</v>
      </c>
      <c r="R70" s="20">
        <f t="shared" si="21"/>
        <v>1</v>
      </c>
      <c r="S70" s="5">
        <f t="shared" si="27"/>
        <v>249.23750672531725</v>
      </c>
      <c r="T70" s="5">
        <f>S70*'Gas Calculations'!LSLT</f>
        <v>224.31375605278552</v>
      </c>
      <c r="U70" s="5">
        <f>U66</f>
        <v>244.07991157223347</v>
      </c>
      <c r="V70" s="5">
        <f>V66</f>
        <v>219.67192041501016</v>
      </c>
      <c r="W70" s="62">
        <f t="shared" si="23"/>
        <v>0.86570247933884303</v>
      </c>
    </row>
    <row r="71" spans="2:23" x14ac:dyDescent="0.35">
      <c r="B71">
        <v>50</v>
      </c>
      <c r="C71" s="16" t="str">
        <f t="shared" si="9"/>
        <v>Fri</v>
      </c>
      <c r="D71" s="12">
        <v>44701</v>
      </c>
      <c r="E71">
        <f t="shared" si="26"/>
        <v>133</v>
      </c>
      <c r="F71" s="61">
        <f t="shared" si="11"/>
        <v>242</v>
      </c>
      <c r="G71" s="61">
        <f t="shared" si="12"/>
        <v>51</v>
      </c>
      <c r="H71" s="61">
        <f t="shared" si="13"/>
        <v>50</v>
      </c>
      <c r="I71" s="61">
        <f t="shared" si="14"/>
        <v>1</v>
      </c>
      <c r="J71" s="61">
        <f t="shared" si="15"/>
        <v>0</v>
      </c>
      <c r="K71" s="11">
        <f t="shared" si="24"/>
        <v>0.54958677685950408</v>
      </c>
      <c r="L71" s="11">
        <f t="shared" si="16"/>
        <v>0.13351081682443386</v>
      </c>
      <c r="M71" s="11">
        <f t="shared" si="17"/>
        <v>0.31611570247933884</v>
      </c>
      <c r="N71" s="11">
        <f t="shared" si="18"/>
        <v>0.23932188678708888</v>
      </c>
      <c r="O71" s="11">
        <f t="shared" si="25"/>
        <v>0</v>
      </c>
      <c r="P71" s="11">
        <f t="shared" si="19"/>
        <v>0</v>
      </c>
      <c r="Q71" s="20">
        <f t="shared" si="20"/>
        <v>0.37283270361152276</v>
      </c>
      <c r="R71" s="20">
        <f t="shared" si="21"/>
        <v>1</v>
      </c>
      <c r="S71" s="5">
        <f t="shared" si="27"/>
        <v>250.16817017794909</v>
      </c>
      <c r="T71" s="5">
        <f>S71*'Gas Calculations'!LSLT</f>
        <v>225.1513531601542</v>
      </c>
      <c r="U71" s="5">
        <f>U66</f>
        <v>244.07991157223347</v>
      </c>
      <c r="V71" s="5">
        <f>V66</f>
        <v>219.67192041501016</v>
      </c>
      <c r="W71" s="62">
        <f t="shared" si="23"/>
        <v>0.86570247933884292</v>
      </c>
    </row>
    <row r="72" spans="2:23" x14ac:dyDescent="0.35">
      <c r="B72">
        <v>51</v>
      </c>
      <c r="C72" s="16" t="str">
        <f t="shared" si="9"/>
        <v>Sat</v>
      </c>
      <c r="D72" s="12">
        <v>44702</v>
      </c>
      <c r="E72">
        <f t="shared" si="26"/>
        <v>132</v>
      </c>
      <c r="F72" s="61">
        <f t="shared" si="11"/>
        <v>242</v>
      </c>
      <c r="G72" s="61">
        <f t="shared" si="12"/>
        <v>51</v>
      </c>
      <c r="H72" s="61">
        <f t="shared" si="13"/>
        <v>51</v>
      </c>
      <c r="I72" s="61">
        <f t="shared" si="14"/>
        <v>2</v>
      </c>
      <c r="J72" s="61">
        <f t="shared" si="15"/>
        <v>0</v>
      </c>
      <c r="K72" s="11">
        <f t="shared" si="24"/>
        <v>0.54545454545454541</v>
      </c>
      <c r="L72" s="11">
        <f t="shared" si="16"/>
        <v>0.13250697609643061</v>
      </c>
      <c r="M72" s="11">
        <f t="shared" si="17"/>
        <v>0.32024793388429751</v>
      </c>
      <c r="N72" s="11">
        <f t="shared" si="18"/>
        <v>0.24245027746404427</v>
      </c>
      <c r="O72" s="11">
        <f t="shared" si="25"/>
        <v>0</v>
      </c>
      <c r="P72" s="11">
        <f t="shared" si="19"/>
        <v>0</v>
      </c>
      <c r="Q72" s="20">
        <f t="shared" si="20"/>
        <v>0.37495725356047488</v>
      </c>
      <c r="R72" s="20">
        <f t="shared" si="21"/>
        <v>1</v>
      </c>
      <c r="S72" s="5">
        <f t="shared" si="27"/>
        <v>251.0882871430974</v>
      </c>
      <c r="T72" s="5">
        <f>S72*'Gas Calculations'!LSLT</f>
        <v>225.97945842878767</v>
      </c>
      <c r="U72" s="5">
        <f>U66</f>
        <v>244.07991157223347</v>
      </c>
      <c r="V72" s="5">
        <f>V66</f>
        <v>219.67192041501016</v>
      </c>
      <c r="W72" s="62">
        <f t="shared" si="23"/>
        <v>0.86570247933884292</v>
      </c>
    </row>
    <row r="73" spans="2:23" x14ac:dyDescent="0.35">
      <c r="B73">
        <v>52</v>
      </c>
      <c r="C73" s="16" t="str">
        <f t="shared" si="9"/>
        <v>Sun</v>
      </c>
      <c r="D73" s="12">
        <v>44703</v>
      </c>
      <c r="E73">
        <f t="shared" si="26"/>
        <v>131</v>
      </c>
      <c r="F73" s="61">
        <f t="shared" si="11"/>
        <v>242</v>
      </c>
      <c r="G73" s="61">
        <f t="shared" si="12"/>
        <v>51</v>
      </c>
      <c r="H73" s="61">
        <f t="shared" si="13"/>
        <v>52</v>
      </c>
      <c r="I73" s="61">
        <f t="shared" si="14"/>
        <v>3</v>
      </c>
      <c r="J73" s="61">
        <f t="shared" si="15"/>
        <v>0</v>
      </c>
      <c r="K73" s="11">
        <f t="shared" si="24"/>
        <v>0.54132231404958675</v>
      </c>
      <c r="L73" s="11">
        <f t="shared" si="16"/>
        <v>0.13150313536842734</v>
      </c>
      <c r="M73" s="11">
        <f t="shared" si="17"/>
        <v>0.32438016528925617</v>
      </c>
      <c r="N73" s="11">
        <f t="shared" si="18"/>
        <v>0.24557866814099968</v>
      </c>
      <c r="O73" s="11">
        <f t="shared" si="25"/>
        <v>0</v>
      </c>
      <c r="P73" s="11">
        <f t="shared" si="19"/>
        <v>0</v>
      </c>
      <c r="Q73" s="20">
        <f t="shared" si="20"/>
        <v>0.37708180350942699</v>
      </c>
      <c r="R73" s="20">
        <f t="shared" si="21"/>
        <v>1</v>
      </c>
      <c r="S73" s="5">
        <f t="shared" si="27"/>
        <v>251.99803588345657</v>
      </c>
      <c r="T73" s="5">
        <f>S73*'Gas Calculations'!LSLT</f>
        <v>226.79823229511092</v>
      </c>
      <c r="U73" s="5">
        <f>AVERAGE(S67:S71)</f>
        <v>248.65694618137454</v>
      </c>
      <c r="V73" s="5">
        <f>AVERAGE(T67:T71)</f>
        <v>223.79125156323707</v>
      </c>
      <c r="W73" s="62">
        <f t="shared" si="23"/>
        <v>0.86570247933884292</v>
      </c>
    </row>
    <row r="74" spans="2:23" x14ac:dyDescent="0.35">
      <c r="B74">
        <v>53</v>
      </c>
      <c r="C74" s="16" t="str">
        <f t="shared" si="9"/>
        <v>Mon</v>
      </c>
      <c r="D74" s="12">
        <v>44704</v>
      </c>
      <c r="E74">
        <f t="shared" si="26"/>
        <v>130</v>
      </c>
      <c r="F74" s="61">
        <f t="shared" si="11"/>
        <v>242</v>
      </c>
      <c r="G74" s="61">
        <f t="shared" si="12"/>
        <v>51</v>
      </c>
      <c r="H74" s="61">
        <f t="shared" si="13"/>
        <v>53</v>
      </c>
      <c r="I74" s="61">
        <f t="shared" si="14"/>
        <v>4</v>
      </c>
      <c r="J74" s="61">
        <f t="shared" si="15"/>
        <v>0</v>
      </c>
      <c r="K74" s="11">
        <f t="shared" si="24"/>
        <v>0.53719008264462809</v>
      </c>
      <c r="L74" s="11">
        <f t="shared" si="16"/>
        <v>0.13049929464042409</v>
      </c>
      <c r="M74" s="11">
        <f t="shared" si="17"/>
        <v>0.32851239669421489</v>
      </c>
      <c r="N74" s="11">
        <f t="shared" si="18"/>
        <v>0.24870705881795513</v>
      </c>
      <c r="O74" s="11">
        <f t="shared" si="25"/>
        <v>0</v>
      </c>
      <c r="P74" s="11">
        <f t="shared" si="19"/>
        <v>0</v>
      </c>
      <c r="Q74" s="20">
        <f t="shared" si="20"/>
        <v>0.37920635345837922</v>
      </c>
      <c r="R74" s="20">
        <f t="shared" si="21"/>
        <v>1</v>
      </c>
      <c r="S74" s="5">
        <f t="shared" si="27"/>
        <v>252.89759066676697</v>
      </c>
      <c r="T74" s="5">
        <f>S74*'Gas Calculations'!LSLT</f>
        <v>227.60783160009029</v>
      </c>
      <c r="U74" s="5">
        <f>U73</f>
        <v>248.65694618137454</v>
      </c>
      <c r="V74" s="5">
        <f>V73</f>
        <v>223.79125156323707</v>
      </c>
      <c r="W74" s="62">
        <f t="shared" si="23"/>
        <v>0.86570247933884303</v>
      </c>
    </row>
    <row r="75" spans="2:23" x14ac:dyDescent="0.35">
      <c r="B75">
        <v>54</v>
      </c>
      <c r="C75" s="16" t="str">
        <f t="shared" si="9"/>
        <v>Tue</v>
      </c>
      <c r="D75" s="12">
        <v>44705</v>
      </c>
      <c r="E75">
        <f t="shared" si="26"/>
        <v>129</v>
      </c>
      <c r="F75" s="61">
        <f t="shared" si="11"/>
        <v>242</v>
      </c>
      <c r="G75" s="61">
        <f t="shared" si="12"/>
        <v>51</v>
      </c>
      <c r="H75" s="61">
        <f t="shared" si="13"/>
        <v>54</v>
      </c>
      <c r="I75" s="61">
        <f t="shared" si="14"/>
        <v>5</v>
      </c>
      <c r="J75" s="61">
        <f t="shared" si="15"/>
        <v>0</v>
      </c>
      <c r="K75" s="11">
        <f t="shared" si="24"/>
        <v>0.53305785123966942</v>
      </c>
      <c r="L75" s="11">
        <f t="shared" si="16"/>
        <v>0.12949545391242082</v>
      </c>
      <c r="M75" s="11">
        <f t="shared" si="17"/>
        <v>0.33264462809917356</v>
      </c>
      <c r="N75" s="11">
        <f t="shared" si="18"/>
        <v>0.25183544949491055</v>
      </c>
      <c r="O75" s="11">
        <f t="shared" si="25"/>
        <v>0</v>
      </c>
      <c r="P75" s="11">
        <f t="shared" si="19"/>
        <v>0</v>
      </c>
      <c r="Q75" s="20">
        <f t="shared" si="20"/>
        <v>0.38133090340733133</v>
      </c>
      <c r="R75" s="20">
        <f t="shared" si="21"/>
        <v>1</v>
      </c>
      <c r="S75" s="5">
        <f t="shared" si="27"/>
        <v>253.78712187710241</v>
      </c>
      <c r="T75" s="5">
        <f>S75*'Gas Calculations'!LSLT</f>
        <v>228.40840968939216</v>
      </c>
      <c r="U75" s="5">
        <f>U73</f>
        <v>248.65694618137454</v>
      </c>
      <c r="V75" s="5">
        <f>V73</f>
        <v>223.79125156323707</v>
      </c>
      <c r="W75" s="62">
        <f t="shared" si="23"/>
        <v>0.86570247933884303</v>
      </c>
    </row>
    <row r="76" spans="2:23" x14ac:dyDescent="0.35">
      <c r="B76">
        <v>55</v>
      </c>
      <c r="C76" s="16" t="str">
        <f t="shared" si="9"/>
        <v>Wed</v>
      </c>
      <c r="D76" s="12">
        <v>44706</v>
      </c>
      <c r="E76">
        <f t="shared" si="26"/>
        <v>128</v>
      </c>
      <c r="F76" s="61">
        <f t="shared" si="11"/>
        <v>242</v>
      </c>
      <c r="G76" s="61">
        <f t="shared" si="12"/>
        <v>51</v>
      </c>
      <c r="H76" s="61">
        <f t="shared" si="13"/>
        <v>55</v>
      </c>
      <c r="I76" s="61">
        <f t="shared" si="14"/>
        <v>6</v>
      </c>
      <c r="J76" s="61">
        <f t="shared" si="15"/>
        <v>0</v>
      </c>
      <c r="K76" s="11">
        <f t="shared" si="24"/>
        <v>0.52892561983471076</v>
      </c>
      <c r="L76" s="11">
        <f t="shared" si="16"/>
        <v>0.12849161318441757</v>
      </c>
      <c r="M76" s="11">
        <f t="shared" si="17"/>
        <v>0.33677685950413222</v>
      </c>
      <c r="N76" s="11">
        <f t="shared" si="18"/>
        <v>0.25496384017186591</v>
      </c>
      <c r="O76" s="11">
        <f t="shared" si="25"/>
        <v>0</v>
      </c>
      <c r="P76" s="11">
        <f t="shared" si="19"/>
        <v>0</v>
      </c>
      <c r="Q76" s="20">
        <f t="shared" si="20"/>
        <v>0.3834554533562835</v>
      </c>
      <c r="R76" s="20">
        <f t="shared" si="21"/>
        <v>0.99999999999999989</v>
      </c>
      <c r="S76" s="5">
        <f t="shared" si="27"/>
        <v>254.66679612245807</v>
      </c>
      <c r="T76" s="5">
        <f>S76*'Gas Calculations'!LSLT</f>
        <v>229.20011651021227</v>
      </c>
      <c r="U76" s="5">
        <f>U73</f>
        <v>248.65694618137454</v>
      </c>
      <c r="V76" s="5">
        <f>V73</f>
        <v>223.79125156323707</v>
      </c>
      <c r="W76" s="62">
        <f t="shared" si="23"/>
        <v>0.86570247933884303</v>
      </c>
    </row>
    <row r="77" spans="2:23" x14ac:dyDescent="0.35">
      <c r="B77">
        <v>56</v>
      </c>
      <c r="C77" s="16" t="str">
        <f t="shared" si="9"/>
        <v>Thu</v>
      </c>
      <c r="D77" s="12">
        <v>44707</v>
      </c>
      <c r="E77">
        <f t="shared" si="26"/>
        <v>127</v>
      </c>
      <c r="F77" s="61">
        <f t="shared" si="11"/>
        <v>242</v>
      </c>
      <c r="G77" s="61">
        <f t="shared" si="12"/>
        <v>51</v>
      </c>
      <c r="H77" s="61">
        <f t="shared" si="13"/>
        <v>56</v>
      </c>
      <c r="I77" s="61">
        <f t="shared" si="14"/>
        <v>7</v>
      </c>
      <c r="J77" s="61">
        <f t="shared" si="15"/>
        <v>0</v>
      </c>
      <c r="K77" s="11">
        <f t="shared" si="24"/>
        <v>0.52479338842975209</v>
      </c>
      <c r="L77" s="11">
        <f t="shared" si="16"/>
        <v>0.12748777245641432</v>
      </c>
      <c r="M77" s="11">
        <f t="shared" si="17"/>
        <v>0.34090909090909088</v>
      </c>
      <c r="N77" s="11">
        <f t="shared" si="18"/>
        <v>0.25809223084882132</v>
      </c>
      <c r="O77" s="11">
        <f t="shared" si="25"/>
        <v>0</v>
      </c>
      <c r="P77" s="11">
        <f t="shared" si="19"/>
        <v>0</v>
      </c>
      <c r="Q77" s="20">
        <f t="shared" si="20"/>
        <v>0.38558000330523567</v>
      </c>
      <c r="R77" s="20">
        <f t="shared" si="21"/>
        <v>1</v>
      </c>
      <c r="S77" s="5">
        <f t="shared" si="27"/>
        <v>255.53677633878192</v>
      </c>
      <c r="T77" s="5">
        <f>S77*'Gas Calculations'!LSLT</f>
        <v>229.98309870490374</v>
      </c>
      <c r="U77" s="5">
        <f>U73</f>
        <v>248.65694618137454</v>
      </c>
      <c r="V77" s="5">
        <f>V73</f>
        <v>223.79125156323707</v>
      </c>
      <c r="W77" s="62">
        <f t="shared" si="23"/>
        <v>0.86570247933884303</v>
      </c>
    </row>
    <row r="78" spans="2:23" x14ac:dyDescent="0.35">
      <c r="B78">
        <v>57</v>
      </c>
      <c r="C78" s="16" t="str">
        <f t="shared" si="9"/>
        <v>Fri</v>
      </c>
      <c r="D78" s="12">
        <v>44708</v>
      </c>
      <c r="E78">
        <f t="shared" si="26"/>
        <v>126</v>
      </c>
      <c r="F78" s="61">
        <f t="shared" si="11"/>
        <v>242</v>
      </c>
      <c r="G78" s="61">
        <f t="shared" si="12"/>
        <v>51</v>
      </c>
      <c r="H78" s="61">
        <f t="shared" si="13"/>
        <v>57</v>
      </c>
      <c r="I78" s="61">
        <f t="shared" si="14"/>
        <v>8</v>
      </c>
      <c r="J78" s="61">
        <f t="shared" si="15"/>
        <v>0</v>
      </c>
      <c r="K78" s="11">
        <f t="shared" si="24"/>
        <v>0.52066115702479343</v>
      </c>
      <c r="L78" s="11">
        <f t="shared" si="16"/>
        <v>0.12648393172841105</v>
      </c>
      <c r="M78" s="11">
        <f t="shared" si="17"/>
        <v>0.3450413223140496</v>
      </c>
      <c r="N78" s="11">
        <f t="shared" si="18"/>
        <v>0.26122062152577674</v>
      </c>
      <c r="O78" s="11">
        <f t="shared" si="25"/>
        <v>0</v>
      </c>
      <c r="P78" s="11">
        <f t="shared" si="19"/>
        <v>0</v>
      </c>
      <c r="Q78" s="20">
        <f t="shared" si="20"/>
        <v>0.38770455325418779</v>
      </c>
      <c r="R78" s="20">
        <f t="shared" si="21"/>
        <v>1</v>
      </c>
      <c r="S78" s="5">
        <f t="shared" si="27"/>
        <v>256.39722189058529</v>
      </c>
      <c r="T78" s="5">
        <f>S78*'Gas Calculations'!LSLT</f>
        <v>230.75749970152677</v>
      </c>
      <c r="U78" s="5">
        <f>U73</f>
        <v>248.65694618137454</v>
      </c>
      <c r="V78" s="5">
        <f>V73</f>
        <v>223.79125156323707</v>
      </c>
      <c r="W78" s="62">
        <f t="shared" si="23"/>
        <v>0.86570247933884303</v>
      </c>
    </row>
    <row r="79" spans="2:23" x14ac:dyDescent="0.35">
      <c r="B79">
        <v>58</v>
      </c>
      <c r="C79" s="16" t="str">
        <f t="shared" si="9"/>
        <v>Sat</v>
      </c>
      <c r="D79" s="12">
        <v>44709</v>
      </c>
      <c r="E79">
        <f t="shared" si="26"/>
        <v>125</v>
      </c>
      <c r="F79" s="61">
        <f t="shared" si="11"/>
        <v>242</v>
      </c>
      <c r="G79" s="61">
        <f t="shared" si="12"/>
        <v>51</v>
      </c>
      <c r="H79" s="61">
        <f t="shared" si="13"/>
        <v>58</v>
      </c>
      <c r="I79" s="61">
        <f t="shared" si="14"/>
        <v>9</v>
      </c>
      <c r="J79" s="61">
        <f t="shared" si="15"/>
        <v>0</v>
      </c>
      <c r="K79" s="11">
        <f t="shared" si="24"/>
        <v>0.51652892561983466</v>
      </c>
      <c r="L79" s="11">
        <f t="shared" si="16"/>
        <v>0.12548009100040777</v>
      </c>
      <c r="M79" s="11">
        <f t="shared" si="17"/>
        <v>0.34917355371900827</v>
      </c>
      <c r="N79" s="11">
        <f t="shared" si="18"/>
        <v>0.26434901220273216</v>
      </c>
      <c r="O79" s="11">
        <f t="shared" si="25"/>
        <v>0</v>
      </c>
      <c r="P79" s="11">
        <f t="shared" si="19"/>
        <v>0</v>
      </c>
      <c r="Q79" s="20">
        <f t="shared" si="20"/>
        <v>0.3898291032031399</v>
      </c>
      <c r="R79" s="20">
        <f t="shared" si="21"/>
        <v>1</v>
      </c>
      <c r="S79" s="5">
        <f t="shared" si="27"/>
        <v>257.24828866826357</v>
      </c>
      <c r="T79" s="5">
        <f>S79*'Gas Calculations'!LSLT</f>
        <v>231.52345980143721</v>
      </c>
      <c r="U79" s="5">
        <f>U73</f>
        <v>248.65694618137454</v>
      </c>
      <c r="V79" s="5">
        <f>V73</f>
        <v>223.79125156323707</v>
      </c>
      <c r="W79" s="62">
        <f t="shared" si="23"/>
        <v>0.86570247933884292</v>
      </c>
    </row>
    <row r="80" spans="2:23" x14ac:dyDescent="0.35">
      <c r="B80">
        <v>59</v>
      </c>
      <c r="C80" s="16" t="str">
        <f t="shared" si="9"/>
        <v>Sun</v>
      </c>
      <c r="D80" s="12">
        <v>44710</v>
      </c>
      <c r="E80">
        <f t="shared" si="26"/>
        <v>124</v>
      </c>
      <c r="F80" s="61">
        <f t="shared" si="11"/>
        <v>242</v>
      </c>
      <c r="G80" s="61">
        <f t="shared" si="12"/>
        <v>51</v>
      </c>
      <c r="H80" s="61">
        <f t="shared" si="13"/>
        <v>59</v>
      </c>
      <c r="I80" s="61">
        <f t="shared" si="14"/>
        <v>10</v>
      </c>
      <c r="J80" s="61">
        <f t="shared" si="15"/>
        <v>0</v>
      </c>
      <c r="K80" s="11">
        <f t="shared" si="24"/>
        <v>0.51239669421487599</v>
      </c>
      <c r="L80" s="11">
        <f t="shared" si="16"/>
        <v>0.12447625027240451</v>
      </c>
      <c r="M80" s="11">
        <f t="shared" si="17"/>
        <v>0.35330578512396693</v>
      </c>
      <c r="N80" s="11">
        <f t="shared" si="18"/>
        <v>0.26747740287968758</v>
      </c>
      <c r="O80" s="11">
        <f t="shared" si="25"/>
        <v>0</v>
      </c>
      <c r="P80" s="11">
        <f t="shared" si="19"/>
        <v>0</v>
      </c>
      <c r="Q80" s="20">
        <f t="shared" si="20"/>
        <v>0.39195365315209207</v>
      </c>
      <c r="R80" s="20">
        <f t="shared" si="21"/>
        <v>1</v>
      </c>
      <c r="S80" s="5">
        <f t="shared" si="27"/>
        <v>258.09012918225204</v>
      </c>
      <c r="T80" s="5">
        <f>S80*'Gas Calculations'!LSLT</f>
        <v>232.28111626402685</v>
      </c>
      <c r="U80" s="5">
        <f>AVERAGE(S74:S78)</f>
        <v>254.65710137913894</v>
      </c>
      <c r="V80" s="5">
        <f>AVERAGE(T74:T78)</f>
        <v>229.19139124122503</v>
      </c>
      <c r="W80" s="62">
        <f t="shared" si="23"/>
        <v>0.86570247933884292</v>
      </c>
    </row>
    <row r="81" spans="2:23" x14ac:dyDescent="0.35">
      <c r="B81">
        <v>60</v>
      </c>
      <c r="C81" s="16" t="str">
        <f t="shared" si="9"/>
        <v>Mon</v>
      </c>
      <c r="D81" s="12">
        <v>44711</v>
      </c>
      <c r="E81">
        <f t="shared" si="26"/>
        <v>123</v>
      </c>
      <c r="F81" s="61">
        <f t="shared" si="11"/>
        <v>242</v>
      </c>
      <c r="G81" s="61">
        <f t="shared" si="12"/>
        <v>51</v>
      </c>
      <c r="H81" s="61">
        <f t="shared" si="13"/>
        <v>60</v>
      </c>
      <c r="I81" s="61">
        <f t="shared" si="14"/>
        <v>11</v>
      </c>
      <c r="J81" s="61">
        <f t="shared" si="15"/>
        <v>0</v>
      </c>
      <c r="K81" s="11">
        <f t="shared" si="24"/>
        <v>0.50826446280991733</v>
      </c>
      <c r="L81" s="11">
        <f t="shared" si="16"/>
        <v>0.12347240954440125</v>
      </c>
      <c r="M81" s="11">
        <f t="shared" si="17"/>
        <v>0.3574380165289256</v>
      </c>
      <c r="N81" s="11">
        <f t="shared" si="18"/>
        <v>0.27060579355664294</v>
      </c>
      <c r="O81" s="11">
        <f t="shared" si="25"/>
        <v>0</v>
      </c>
      <c r="P81" s="11">
        <f t="shared" si="19"/>
        <v>0</v>
      </c>
      <c r="Q81" s="20">
        <f t="shared" si="20"/>
        <v>0.39407820310104419</v>
      </c>
      <c r="R81" s="20">
        <f t="shared" si="21"/>
        <v>1</v>
      </c>
      <c r="S81" s="5">
        <f t="shared" si="27"/>
        <v>258.92289265413592</v>
      </c>
      <c r="T81" s="5">
        <f>S81*'Gas Calculations'!LSLT</f>
        <v>233.03060338872234</v>
      </c>
      <c r="U81" s="5">
        <f>U80</f>
        <v>254.65710137913894</v>
      </c>
      <c r="V81" s="5">
        <f>V80</f>
        <v>229.19139124122503</v>
      </c>
      <c r="W81" s="62">
        <f t="shared" si="23"/>
        <v>0.86570247933884292</v>
      </c>
    </row>
    <row r="82" spans="2:23" x14ac:dyDescent="0.35">
      <c r="B82">
        <v>61</v>
      </c>
      <c r="C82" s="16" t="str">
        <f t="shared" si="9"/>
        <v>Tue</v>
      </c>
      <c r="D82" s="12">
        <v>44712</v>
      </c>
      <c r="E82">
        <f t="shared" si="26"/>
        <v>122</v>
      </c>
      <c r="F82" s="61">
        <f t="shared" si="11"/>
        <v>242</v>
      </c>
      <c r="G82" s="61">
        <f t="shared" si="12"/>
        <v>51</v>
      </c>
      <c r="H82" s="61">
        <f t="shared" si="13"/>
        <v>61</v>
      </c>
      <c r="I82" s="61">
        <f t="shared" si="14"/>
        <v>12</v>
      </c>
      <c r="J82" s="61">
        <f t="shared" si="15"/>
        <v>0</v>
      </c>
      <c r="K82" s="11">
        <f t="shared" si="24"/>
        <v>0.50413223140495866</v>
      </c>
      <c r="L82" s="11">
        <f t="shared" si="16"/>
        <v>0.12246856881639799</v>
      </c>
      <c r="M82" s="11">
        <f t="shared" si="17"/>
        <v>0.36157024793388431</v>
      </c>
      <c r="N82" s="11">
        <f t="shared" si="18"/>
        <v>0.27373418423359841</v>
      </c>
      <c r="O82" s="11">
        <f t="shared" si="25"/>
        <v>0</v>
      </c>
      <c r="P82" s="11">
        <f t="shared" si="19"/>
        <v>0</v>
      </c>
      <c r="Q82" s="20">
        <f t="shared" si="20"/>
        <v>0.39620275304999641</v>
      </c>
      <c r="R82" s="20">
        <f t="shared" si="21"/>
        <v>1</v>
      </c>
      <c r="S82" s="5">
        <f t="shared" si="27"/>
        <v>259.74672510482901</v>
      </c>
      <c r="T82" s="5">
        <f>S82*'Gas Calculations'!LSLT</f>
        <v>233.77205259434612</v>
      </c>
      <c r="U82" s="5">
        <f>U80</f>
        <v>254.65710137913894</v>
      </c>
      <c r="V82" s="5">
        <f>V80</f>
        <v>229.19139124122503</v>
      </c>
      <c r="W82" s="62">
        <f t="shared" si="23"/>
        <v>0.86570247933884303</v>
      </c>
    </row>
    <row r="83" spans="2:23" x14ac:dyDescent="0.35">
      <c r="B83">
        <v>62</v>
      </c>
      <c r="C83" s="16" t="str">
        <f t="shared" si="9"/>
        <v>Wed</v>
      </c>
      <c r="D83" s="12">
        <v>44713</v>
      </c>
      <c r="E83">
        <f t="shared" si="26"/>
        <v>121</v>
      </c>
      <c r="F83" s="61">
        <f t="shared" si="11"/>
        <v>242</v>
      </c>
      <c r="G83" s="61">
        <f t="shared" si="12"/>
        <v>51</v>
      </c>
      <c r="H83" s="61">
        <f t="shared" si="13"/>
        <v>62</v>
      </c>
      <c r="I83" s="61">
        <f t="shared" si="14"/>
        <v>13</v>
      </c>
      <c r="J83" s="61">
        <f t="shared" si="15"/>
        <v>0</v>
      </c>
      <c r="K83" s="11">
        <f t="shared" si="24"/>
        <v>0.5</v>
      </c>
      <c r="L83" s="11">
        <f t="shared" si="16"/>
        <v>0.12146472808839473</v>
      </c>
      <c r="M83" s="11">
        <f t="shared" si="17"/>
        <v>0.36570247933884298</v>
      </c>
      <c r="N83" s="11">
        <f t="shared" si="18"/>
        <v>0.27686257491055383</v>
      </c>
      <c r="O83" s="11">
        <f t="shared" si="25"/>
        <v>0</v>
      </c>
      <c r="P83" s="11">
        <f t="shared" si="19"/>
        <v>0</v>
      </c>
      <c r="Q83" s="20">
        <f t="shared" si="20"/>
        <v>0.39832730299894858</v>
      </c>
      <c r="R83" s="20">
        <f t="shared" si="21"/>
        <v>1</v>
      </c>
      <c r="S83" s="5">
        <f t="shared" si="27"/>
        <v>260.56176943993029</v>
      </c>
      <c r="T83" s="5">
        <f>S83*'Gas Calculations'!LSLT</f>
        <v>234.50559249593726</v>
      </c>
      <c r="U83" s="5">
        <f>U80</f>
        <v>254.65710137913894</v>
      </c>
      <c r="V83" s="5">
        <f>V80</f>
        <v>229.19139124122503</v>
      </c>
      <c r="W83" s="62">
        <f t="shared" si="23"/>
        <v>0.86570247933884303</v>
      </c>
    </row>
    <row r="84" spans="2:23" x14ac:dyDescent="0.35">
      <c r="B84">
        <v>63</v>
      </c>
      <c r="C84" s="16" t="str">
        <f t="shared" si="9"/>
        <v>Thu</v>
      </c>
      <c r="D84" s="68">
        <v>44714</v>
      </c>
      <c r="E84">
        <f t="shared" si="26"/>
        <v>120</v>
      </c>
      <c r="F84" s="61">
        <f t="shared" si="11"/>
        <v>242</v>
      </c>
      <c r="G84" s="61">
        <f t="shared" si="12"/>
        <v>51</v>
      </c>
      <c r="H84" s="61">
        <f t="shared" si="13"/>
        <v>63</v>
      </c>
      <c r="I84" s="61">
        <f t="shared" si="14"/>
        <v>14</v>
      </c>
      <c r="J84" s="61">
        <f t="shared" si="15"/>
        <v>0</v>
      </c>
      <c r="K84" s="11">
        <f t="shared" si="24"/>
        <v>0.49586776859504134</v>
      </c>
      <c r="L84" s="11">
        <f t="shared" si="16"/>
        <v>0.12046088736039147</v>
      </c>
      <c r="M84" s="11">
        <f t="shared" si="17"/>
        <v>0.36983471074380164</v>
      </c>
      <c r="N84" s="11">
        <f t="shared" si="18"/>
        <v>0.27999096558750919</v>
      </c>
      <c r="O84" s="11">
        <f t="shared" si="25"/>
        <v>0</v>
      </c>
      <c r="P84" s="11">
        <f t="shared" si="19"/>
        <v>0</v>
      </c>
      <c r="Q84" s="20">
        <f t="shared" si="20"/>
        <v>0.40045185294790064</v>
      </c>
      <c r="R84" s="20">
        <f t="shared" si="21"/>
        <v>1</v>
      </c>
      <c r="S84" s="5">
        <f t="shared" si="27"/>
        <v>261.36816553236378</v>
      </c>
      <c r="T84" s="5">
        <f>S84*'Gas Calculations'!LSLT</f>
        <v>235.2313489791274</v>
      </c>
      <c r="U84" s="5">
        <f>U80</f>
        <v>254.65710137913894</v>
      </c>
      <c r="V84" s="5">
        <f>V80</f>
        <v>229.19139124122503</v>
      </c>
      <c r="W84" s="62">
        <f t="shared" si="23"/>
        <v>0.86570247933884303</v>
      </c>
    </row>
    <row r="85" spans="2:23" x14ac:dyDescent="0.35">
      <c r="B85">
        <v>64</v>
      </c>
      <c r="C85" s="16" t="str">
        <f t="shared" si="9"/>
        <v>Fri</v>
      </c>
      <c r="D85" s="68">
        <v>44715</v>
      </c>
      <c r="E85">
        <f t="shared" si="26"/>
        <v>119</v>
      </c>
      <c r="F85" s="61">
        <f t="shared" si="11"/>
        <v>242</v>
      </c>
      <c r="G85" s="61">
        <f t="shared" si="12"/>
        <v>51</v>
      </c>
      <c r="H85" s="61">
        <f t="shared" si="13"/>
        <v>64</v>
      </c>
      <c r="I85" s="61">
        <f t="shared" si="14"/>
        <v>15</v>
      </c>
      <c r="J85" s="61">
        <f t="shared" si="15"/>
        <v>0</v>
      </c>
      <c r="K85" s="11">
        <f t="shared" si="24"/>
        <v>0.49173553719008267</v>
      </c>
      <c r="L85" s="11">
        <f t="shared" si="16"/>
        <v>0.11945704663238821</v>
      </c>
      <c r="M85" s="11">
        <f t="shared" si="17"/>
        <v>0.37396694214876031</v>
      </c>
      <c r="N85" s="11">
        <f t="shared" si="18"/>
        <v>0.28311935626446461</v>
      </c>
      <c r="O85" s="11">
        <f t="shared" si="25"/>
        <v>0</v>
      </c>
      <c r="P85" s="11">
        <f t="shared" si="19"/>
        <v>0</v>
      </c>
      <c r="Q85" s="20">
        <f t="shared" si="20"/>
        <v>0.40257640289685281</v>
      </c>
      <c r="R85" s="20">
        <f t="shared" si="21"/>
        <v>1</v>
      </c>
      <c r="S85" s="5">
        <f t="shared" si="27"/>
        <v>262.1660503024014</v>
      </c>
      <c r="T85" s="5">
        <f>S85*'Gas Calculations'!LSLT</f>
        <v>235.94944527216126</v>
      </c>
      <c r="U85" s="5">
        <f>U80</f>
        <v>254.65710137913894</v>
      </c>
      <c r="V85" s="5">
        <f>V80</f>
        <v>229.19139124122503</v>
      </c>
      <c r="W85" s="62">
        <f t="shared" si="23"/>
        <v>0.86570247933884303</v>
      </c>
    </row>
    <row r="86" spans="2:23" x14ac:dyDescent="0.35">
      <c r="B86">
        <v>65</v>
      </c>
      <c r="C86" s="16" t="str">
        <f t="shared" ref="C86:C149" si="28">TEXT(D86,"ddd")</f>
        <v>Sat</v>
      </c>
      <c r="D86" s="12">
        <v>44716</v>
      </c>
      <c r="E86">
        <f t="shared" si="26"/>
        <v>118</v>
      </c>
      <c r="F86" s="61">
        <f t="shared" si="11"/>
        <v>242</v>
      </c>
      <c r="G86" s="61">
        <f t="shared" si="12"/>
        <v>51</v>
      </c>
      <c r="H86" s="61">
        <f t="shared" si="13"/>
        <v>65</v>
      </c>
      <c r="I86" s="61">
        <f t="shared" si="14"/>
        <v>16</v>
      </c>
      <c r="J86" s="61">
        <f t="shared" si="15"/>
        <v>0</v>
      </c>
      <c r="K86" s="11">
        <f t="shared" si="24"/>
        <v>0.48760330578512395</v>
      </c>
      <c r="L86" s="11">
        <f t="shared" si="16"/>
        <v>0.11845320590438493</v>
      </c>
      <c r="M86" s="11">
        <f t="shared" si="17"/>
        <v>0.37809917355371903</v>
      </c>
      <c r="N86" s="11">
        <f t="shared" si="18"/>
        <v>0.28624774694142002</v>
      </c>
      <c r="O86" s="11">
        <f t="shared" si="25"/>
        <v>0</v>
      </c>
      <c r="P86" s="11">
        <f t="shared" si="19"/>
        <v>0</v>
      </c>
      <c r="Q86" s="20">
        <f t="shared" si="20"/>
        <v>0.40470095284580498</v>
      </c>
      <c r="R86" s="20">
        <f t="shared" si="21"/>
        <v>1</v>
      </c>
      <c r="S86" s="5">
        <f t="shared" ref="S86:S117" si="29">((PCc*L86)+(PCn*N86)+(PCn_2*P86))/(L86+N86+P86)</f>
        <v>262.9555577951653</v>
      </c>
      <c r="T86" s="5">
        <f>S86*'Gas Calculations'!LSLT</f>
        <v>236.66000201564879</v>
      </c>
      <c r="U86" s="5">
        <f>U80</f>
        <v>254.65710137913894</v>
      </c>
      <c r="V86" s="5">
        <f>V80</f>
        <v>229.19139124122503</v>
      </c>
      <c r="W86" s="62">
        <f t="shared" si="23"/>
        <v>0.86570247933884303</v>
      </c>
    </row>
    <row r="87" spans="2:23" x14ac:dyDescent="0.35">
      <c r="B87">
        <v>66</v>
      </c>
      <c r="C87" s="16" t="str">
        <f t="shared" si="28"/>
        <v>Sun</v>
      </c>
      <c r="D87" s="12">
        <v>44717</v>
      </c>
      <c r="E87">
        <f t="shared" si="26"/>
        <v>117</v>
      </c>
      <c r="F87" s="61">
        <f t="shared" ref="F87:F150" si="30">$E$19</f>
        <v>242</v>
      </c>
      <c r="G87" s="61">
        <f t="shared" ref="G87:G150" si="31">$E$18</f>
        <v>51</v>
      </c>
      <c r="H87" s="61">
        <f t="shared" ref="H87:H150" si="32">B87</f>
        <v>66</v>
      </c>
      <c r="I87" s="61">
        <f t="shared" ref="I87:I150" si="33">IF(D87&lt;$D$71,0,B87-49)</f>
        <v>17</v>
      </c>
      <c r="J87" s="61">
        <f t="shared" ref="J87:J150" si="34">IF(D87&lt;$D$175,0,B87-153)</f>
        <v>0</v>
      </c>
      <c r="K87" s="11">
        <f t="shared" ref="K87:K150" si="35">E87/F87</f>
        <v>0.48347107438016529</v>
      </c>
      <c r="L87" s="11">
        <f t="shared" ref="L87:L150" si="36">K87*$D$9</f>
        <v>0.11744936517638169</v>
      </c>
      <c r="M87" s="11">
        <f t="shared" ref="M87:M150" si="37">(G87+0.5*(H87-I87)+(I87-J87))/F87</f>
        <v>0.38223140495867769</v>
      </c>
      <c r="N87" s="11">
        <f t="shared" ref="N87:N150" si="38">M87*$D$10</f>
        <v>0.28937613761837544</v>
      </c>
      <c r="O87" s="11">
        <f t="shared" ref="O87:O150" si="39">J87/F87</f>
        <v>0</v>
      </c>
      <c r="P87" s="11">
        <f t="shared" ref="P87:P150" si="40">O87*$D$9</f>
        <v>0</v>
      </c>
      <c r="Q87" s="20">
        <f t="shared" ref="Q87:Q150" si="41">SUM(L87,N87,P87)</f>
        <v>0.40682550279475715</v>
      </c>
      <c r="R87" s="20">
        <f t="shared" ref="R87:R150" si="42">(L87/Q87)+(N87/Q87)+(P87/Q87)</f>
        <v>0.99999999999999989</v>
      </c>
      <c r="S87" s="5">
        <f t="shared" si="29"/>
        <v>263.73681925570202</v>
      </c>
      <c r="T87" s="5">
        <f>S87*'Gas Calculations'!LSLT</f>
        <v>237.36313733013182</v>
      </c>
      <c r="U87" s="5">
        <f>AVERAGE(S81:S83)</f>
        <v>259.74379573296505</v>
      </c>
      <c r="V87" s="5">
        <f>AVERAGE(T81:T83)</f>
        <v>233.76941615966857</v>
      </c>
      <c r="W87" s="62">
        <f t="shared" ref="W87:W150" si="43">K87+M87+O87</f>
        <v>0.86570247933884303</v>
      </c>
    </row>
    <row r="88" spans="2:23" x14ac:dyDescent="0.35">
      <c r="B88">
        <v>67</v>
      </c>
      <c r="C88" s="16" t="str">
        <f t="shared" si="28"/>
        <v>Mon</v>
      </c>
      <c r="D88" s="12">
        <v>44718</v>
      </c>
      <c r="E88">
        <f t="shared" si="26"/>
        <v>116</v>
      </c>
      <c r="F88" s="61">
        <f t="shared" si="30"/>
        <v>242</v>
      </c>
      <c r="G88" s="61">
        <f t="shared" si="31"/>
        <v>51</v>
      </c>
      <c r="H88" s="61">
        <f t="shared" si="32"/>
        <v>67</v>
      </c>
      <c r="I88" s="61">
        <f t="shared" si="33"/>
        <v>18</v>
      </c>
      <c r="J88" s="61">
        <f t="shared" si="34"/>
        <v>0</v>
      </c>
      <c r="K88" s="11">
        <f t="shared" si="35"/>
        <v>0.47933884297520662</v>
      </c>
      <c r="L88" s="11">
        <f t="shared" si="36"/>
        <v>0.11644552444837843</v>
      </c>
      <c r="M88" s="11">
        <f t="shared" si="37"/>
        <v>0.38636363636363635</v>
      </c>
      <c r="N88" s="11">
        <f t="shared" si="38"/>
        <v>0.29250452829533086</v>
      </c>
      <c r="O88" s="11">
        <f t="shared" si="39"/>
        <v>0</v>
      </c>
      <c r="P88" s="11">
        <f t="shared" si="40"/>
        <v>0</v>
      </c>
      <c r="Q88" s="20">
        <f t="shared" si="41"/>
        <v>0.40895005274370927</v>
      </c>
      <c r="R88" s="20">
        <f t="shared" si="42"/>
        <v>1</v>
      </c>
      <c r="S88" s="5">
        <f t="shared" si="29"/>
        <v>264.50996320171606</v>
      </c>
      <c r="T88" s="5">
        <f>S88*'Gas Calculations'!LSLT</f>
        <v>238.05896688154445</v>
      </c>
      <c r="U88" s="5">
        <f>U87</f>
        <v>259.74379573296505</v>
      </c>
      <c r="V88" s="5">
        <f>V87</f>
        <v>233.76941615966857</v>
      </c>
      <c r="W88" s="62">
        <f t="shared" si="43"/>
        <v>0.86570247933884303</v>
      </c>
    </row>
    <row r="89" spans="2:23" x14ac:dyDescent="0.35">
      <c r="B89">
        <v>68</v>
      </c>
      <c r="C89" s="16" t="str">
        <f t="shared" si="28"/>
        <v>Tue</v>
      </c>
      <c r="D89" s="12">
        <v>44719</v>
      </c>
      <c r="E89">
        <f t="shared" si="26"/>
        <v>115</v>
      </c>
      <c r="F89" s="61">
        <f t="shared" si="30"/>
        <v>242</v>
      </c>
      <c r="G89" s="61">
        <f t="shared" si="31"/>
        <v>51</v>
      </c>
      <c r="H89" s="61">
        <f t="shared" si="32"/>
        <v>68</v>
      </c>
      <c r="I89" s="61">
        <f t="shared" si="33"/>
        <v>19</v>
      </c>
      <c r="J89" s="61">
        <f t="shared" si="34"/>
        <v>0</v>
      </c>
      <c r="K89" s="11">
        <f t="shared" si="35"/>
        <v>0.47520661157024796</v>
      </c>
      <c r="L89" s="11">
        <f t="shared" si="36"/>
        <v>0.11544168372037517</v>
      </c>
      <c r="M89" s="11">
        <f t="shared" si="37"/>
        <v>0.39049586776859502</v>
      </c>
      <c r="N89" s="11">
        <f t="shared" si="38"/>
        <v>0.29563291897228622</v>
      </c>
      <c r="O89" s="11">
        <f t="shared" si="39"/>
        <v>0</v>
      </c>
      <c r="P89" s="11">
        <f t="shared" si="40"/>
        <v>0</v>
      </c>
      <c r="Q89" s="20">
        <f t="shared" si="41"/>
        <v>0.41107460269266138</v>
      </c>
      <c r="R89" s="20">
        <f t="shared" si="42"/>
        <v>1</v>
      </c>
      <c r="S89" s="5">
        <f t="shared" si="29"/>
        <v>265.27511549404835</v>
      </c>
      <c r="T89" s="5">
        <f>S89*'Gas Calculations'!LSLT</f>
        <v>238.74760394464352</v>
      </c>
      <c r="U89" s="5">
        <f>U87</f>
        <v>259.74379573296505</v>
      </c>
      <c r="V89" s="5">
        <f>V87</f>
        <v>233.76941615966857</v>
      </c>
      <c r="W89" s="62">
        <f t="shared" si="43"/>
        <v>0.86570247933884303</v>
      </c>
    </row>
    <row r="90" spans="2:23" x14ac:dyDescent="0.35">
      <c r="B90">
        <v>69</v>
      </c>
      <c r="C90" s="16" t="str">
        <f t="shared" si="28"/>
        <v>Wed</v>
      </c>
      <c r="D90" s="12">
        <v>44720</v>
      </c>
      <c r="E90">
        <f t="shared" si="26"/>
        <v>114</v>
      </c>
      <c r="F90" s="61">
        <f t="shared" si="30"/>
        <v>242</v>
      </c>
      <c r="G90" s="61">
        <f t="shared" si="31"/>
        <v>51</v>
      </c>
      <c r="H90" s="61">
        <f t="shared" si="32"/>
        <v>69</v>
      </c>
      <c r="I90" s="61">
        <f t="shared" si="33"/>
        <v>20</v>
      </c>
      <c r="J90" s="61">
        <f t="shared" si="34"/>
        <v>0</v>
      </c>
      <c r="K90" s="11">
        <f t="shared" si="35"/>
        <v>0.47107438016528924</v>
      </c>
      <c r="L90" s="11">
        <f t="shared" si="36"/>
        <v>0.11443784299237189</v>
      </c>
      <c r="M90" s="11">
        <f t="shared" si="37"/>
        <v>0.39462809917355374</v>
      </c>
      <c r="N90" s="11">
        <f t="shared" si="38"/>
        <v>0.29876130964924169</v>
      </c>
      <c r="O90" s="11">
        <f t="shared" si="39"/>
        <v>0</v>
      </c>
      <c r="P90" s="11">
        <f t="shared" si="40"/>
        <v>0</v>
      </c>
      <c r="Q90" s="20">
        <f t="shared" si="41"/>
        <v>0.41319915264161355</v>
      </c>
      <c r="R90" s="20">
        <f t="shared" si="42"/>
        <v>1</v>
      </c>
      <c r="S90" s="5">
        <f t="shared" si="29"/>
        <v>266.03239940498042</v>
      </c>
      <c r="T90" s="5">
        <f>S90*'Gas Calculations'!LSLT</f>
        <v>239.42915946448238</v>
      </c>
      <c r="U90" s="5">
        <f>U87</f>
        <v>259.74379573296505</v>
      </c>
      <c r="V90" s="5">
        <f>V87</f>
        <v>233.76941615966857</v>
      </c>
      <c r="W90" s="62">
        <f t="shared" si="43"/>
        <v>0.86570247933884303</v>
      </c>
    </row>
    <row r="91" spans="2:23" x14ac:dyDescent="0.35">
      <c r="B91">
        <v>70</v>
      </c>
      <c r="C91" s="16" t="str">
        <f t="shared" si="28"/>
        <v>Thu</v>
      </c>
      <c r="D91" s="12">
        <v>44721</v>
      </c>
      <c r="E91">
        <f t="shared" si="26"/>
        <v>113</v>
      </c>
      <c r="F91" s="61">
        <f t="shared" si="30"/>
        <v>242</v>
      </c>
      <c r="G91" s="61">
        <f t="shared" si="31"/>
        <v>51</v>
      </c>
      <c r="H91" s="61">
        <f t="shared" si="32"/>
        <v>70</v>
      </c>
      <c r="I91" s="61">
        <f t="shared" si="33"/>
        <v>21</v>
      </c>
      <c r="J91" s="61">
        <f t="shared" si="34"/>
        <v>0</v>
      </c>
      <c r="K91" s="11">
        <f t="shared" si="35"/>
        <v>0.46694214876033058</v>
      </c>
      <c r="L91" s="11">
        <f t="shared" si="36"/>
        <v>0.11343400226436863</v>
      </c>
      <c r="M91" s="11">
        <f t="shared" si="37"/>
        <v>0.3987603305785124</v>
      </c>
      <c r="N91" s="11">
        <f t="shared" si="38"/>
        <v>0.30188970032619711</v>
      </c>
      <c r="O91" s="11">
        <f t="shared" si="39"/>
        <v>0</v>
      </c>
      <c r="P91" s="11">
        <f t="shared" si="40"/>
        <v>0</v>
      </c>
      <c r="Q91" s="20">
        <f t="shared" si="41"/>
        <v>0.41532370259056572</v>
      </c>
      <c r="R91" s="20">
        <f t="shared" si="42"/>
        <v>1</v>
      </c>
      <c r="S91" s="5">
        <f t="shared" si="29"/>
        <v>266.78193568444203</v>
      </c>
      <c r="T91" s="5">
        <f>S91*'Gas Calculations'!LSLT</f>
        <v>240.10374211599785</v>
      </c>
      <c r="U91" s="5">
        <f>U87</f>
        <v>259.74379573296505</v>
      </c>
      <c r="V91" s="5">
        <f>V87</f>
        <v>233.76941615966857</v>
      </c>
      <c r="W91" s="62">
        <f t="shared" si="43"/>
        <v>0.86570247933884303</v>
      </c>
    </row>
    <row r="92" spans="2:23" x14ac:dyDescent="0.35">
      <c r="B92">
        <v>71</v>
      </c>
      <c r="C92" s="16" t="str">
        <f t="shared" si="28"/>
        <v>Fri</v>
      </c>
      <c r="D92" s="12">
        <v>44722</v>
      </c>
      <c r="E92">
        <f t="shared" si="26"/>
        <v>112</v>
      </c>
      <c r="F92" s="61">
        <f t="shared" si="30"/>
        <v>242</v>
      </c>
      <c r="G92" s="61">
        <f t="shared" si="31"/>
        <v>51</v>
      </c>
      <c r="H92" s="61">
        <f t="shared" si="32"/>
        <v>71</v>
      </c>
      <c r="I92" s="61">
        <f t="shared" si="33"/>
        <v>22</v>
      </c>
      <c r="J92" s="61">
        <f t="shared" si="34"/>
        <v>0</v>
      </c>
      <c r="K92" s="11">
        <f t="shared" si="35"/>
        <v>0.46280991735537191</v>
      </c>
      <c r="L92" s="11">
        <f t="shared" si="36"/>
        <v>0.11243016153636537</v>
      </c>
      <c r="M92" s="11">
        <f t="shared" si="37"/>
        <v>0.40289256198347106</v>
      </c>
      <c r="N92" s="11">
        <f t="shared" si="38"/>
        <v>0.30501809100315247</v>
      </c>
      <c r="O92" s="11">
        <f t="shared" si="39"/>
        <v>0</v>
      </c>
      <c r="P92" s="11">
        <f t="shared" si="40"/>
        <v>0</v>
      </c>
      <c r="Q92" s="20">
        <f t="shared" si="41"/>
        <v>0.41744825253951784</v>
      </c>
      <c r="R92" s="20">
        <f t="shared" si="42"/>
        <v>1</v>
      </c>
      <c r="S92" s="5">
        <f t="shared" si="29"/>
        <v>267.52384262419702</v>
      </c>
      <c r="T92" s="5">
        <f>S92*'Gas Calculations'!LSLT</f>
        <v>240.77145836177732</v>
      </c>
      <c r="U92" s="5">
        <f>U87</f>
        <v>259.74379573296505</v>
      </c>
      <c r="V92" s="5">
        <f>V87</f>
        <v>233.76941615966857</v>
      </c>
      <c r="W92" s="62">
        <f t="shared" si="43"/>
        <v>0.86570247933884303</v>
      </c>
    </row>
    <row r="93" spans="2:23" x14ac:dyDescent="0.35">
      <c r="B93">
        <v>72</v>
      </c>
      <c r="C93" s="16" t="str">
        <f t="shared" si="28"/>
        <v>Sat</v>
      </c>
      <c r="D93" s="12">
        <v>44723</v>
      </c>
      <c r="E93">
        <f t="shared" si="26"/>
        <v>111</v>
      </c>
      <c r="F93" s="61">
        <f t="shared" si="30"/>
        <v>242</v>
      </c>
      <c r="G93" s="61">
        <f t="shared" si="31"/>
        <v>51</v>
      </c>
      <c r="H93" s="61">
        <f t="shared" si="32"/>
        <v>72</v>
      </c>
      <c r="I93" s="61">
        <f t="shared" si="33"/>
        <v>23</v>
      </c>
      <c r="J93" s="61">
        <f t="shared" si="34"/>
        <v>0</v>
      </c>
      <c r="K93" s="11">
        <f t="shared" si="35"/>
        <v>0.45867768595041325</v>
      </c>
      <c r="L93" s="11">
        <f t="shared" si="36"/>
        <v>0.11142632080836211</v>
      </c>
      <c r="M93" s="11">
        <f t="shared" si="37"/>
        <v>0.40702479338842973</v>
      </c>
      <c r="N93" s="11">
        <f t="shared" si="38"/>
        <v>0.30814648168010789</v>
      </c>
      <c r="O93" s="11">
        <f t="shared" si="39"/>
        <v>0</v>
      </c>
      <c r="P93" s="11">
        <f t="shared" si="40"/>
        <v>0</v>
      </c>
      <c r="Q93" s="20">
        <f t="shared" si="41"/>
        <v>0.41957280248847001</v>
      </c>
      <c r="R93" s="20">
        <f t="shared" si="42"/>
        <v>1</v>
      </c>
      <c r="S93" s="5">
        <f t="shared" si="29"/>
        <v>268.25823612007946</v>
      </c>
      <c r="T93" s="5">
        <f>S93*'Gas Calculations'!LSLT</f>
        <v>241.43241250807151</v>
      </c>
      <c r="U93" s="5">
        <f>U87</f>
        <v>259.74379573296505</v>
      </c>
      <c r="V93" s="5">
        <f>V87</f>
        <v>233.76941615966857</v>
      </c>
      <c r="W93" s="62">
        <f t="shared" si="43"/>
        <v>0.86570247933884303</v>
      </c>
    </row>
    <row r="94" spans="2:23" x14ac:dyDescent="0.35">
      <c r="B94">
        <v>73</v>
      </c>
      <c r="C94" s="16" t="str">
        <f t="shared" si="28"/>
        <v>Sun</v>
      </c>
      <c r="D94" s="12">
        <v>44724</v>
      </c>
      <c r="E94">
        <f t="shared" si="26"/>
        <v>110</v>
      </c>
      <c r="F94" s="61">
        <f t="shared" si="30"/>
        <v>242</v>
      </c>
      <c r="G94" s="61">
        <f t="shared" si="31"/>
        <v>51</v>
      </c>
      <c r="H94" s="61">
        <f t="shared" si="32"/>
        <v>73</v>
      </c>
      <c r="I94" s="61">
        <f t="shared" si="33"/>
        <v>24</v>
      </c>
      <c r="J94" s="61">
        <f t="shared" si="34"/>
        <v>0</v>
      </c>
      <c r="K94" s="11">
        <f t="shared" si="35"/>
        <v>0.45454545454545453</v>
      </c>
      <c r="L94" s="11">
        <f t="shared" si="36"/>
        <v>0.11042248008035885</v>
      </c>
      <c r="M94" s="11">
        <f t="shared" si="37"/>
        <v>0.41115702479338845</v>
      </c>
      <c r="N94" s="11">
        <f t="shared" si="38"/>
        <v>0.3112748723570633</v>
      </c>
      <c r="O94" s="11">
        <f t="shared" si="39"/>
        <v>0</v>
      </c>
      <c r="P94" s="11">
        <f t="shared" si="40"/>
        <v>0</v>
      </c>
      <c r="Q94" s="20">
        <f t="shared" si="41"/>
        <v>0.42169735243742212</v>
      </c>
      <c r="R94" s="20">
        <f t="shared" si="42"/>
        <v>1</v>
      </c>
      <c r="S94" s="5">
        <f t="shared" si="29"/>
        <v>268.98522973234788</v>
      </c>
      <c r="T94" s="5">
        <f>S94*'Gas Calculations'!LSLT</f>
        <v>242.0867067591131</v>
      </c>
      <c r="U94" s="5">
        <f>AVERAGE(S88:S92)</f>
        <v>266.0246512818768</v>
      </c>
      <c r="V94" s="5">
        <f>AVERAGE(T88:T92)</f>
        <v>239.4221861536891</v>
      </c>
      <c r="W94" s="62">
        <f t="shared" si="43"/>
        <v>0.86570247933884303</v>
      </c>
    </row>
    <row r="95" spans="2:23" x14ac:dyDescent="0.35">
      <c r="B95">
        <v>74</v>
      </c>
      <c r="C95" s="16" t="str">
        <f t="shared" si="28"/>
        <v>Mon</v>
      </c>
      <c r="D95" s="12">
        <v>44725</v>
      </c>
      <c r="E95">
        <f t="shared" ref="E95:E158" si="44">$AH$13-D95</f>
        <v>109</v>
      </c>
      <c r="F95" s="61">
        <f t="shared" si="30"/>
        <v>242</v>
      </c>
      <c r="G95" s="61">
        <f t="shared" si="31"/>
        <v>51</v>
      </c>
      <c r="H95" s="61">
        <f t="shared" si="32"/>
        <v>74</v>
      </c>
      <c r="I95" s="61">
        <f t="shared" si="33"/>
        <v>25</v>
      </c>
      <c r="J95" s="61">
        <f t="shared" si="34"/>
        <v>0</v>
      </c>
      <c r="K95" s="11">
        <f t="shared" si="35"/>
        <v>0.45041322314049587</v>
      </c>
      <c r="L95" s="11">
        <f t="shared" si="36"/>
        <v>0.10941863935235559</v>
      </c>
      <c r="M95" s="11">
        <f t="shared" si="37"/>
        <v>0.41528925619834711</v>
      </c>
      <c r="N95" s="11">
        <f t="shared" si="38"/>
        <v>0.31440326303401872</v>
      </c>
      <c r="O95" s="11">
        <f t="shared" si="39"/>
        <v>0</v>
      </c>
      <c r="P95" s="11">
        <f t="shared" si="40"/>
        <v>0</v>
      </c>
      <c r="Q95" s="20">
        <f t="shared" si="41"/>
        <v>0.42382190238637429</v>
      </c>
      <c r="R95" s="20">
        <f t="shared" si="42"/>
        <v>1</v>
      </c>
      <c r="S95" s="5">
        <f t="shared" si="29"/>
        <v>269.70493474422477</v>
      </c>
      <c r="T95" s="5">
        <f>S95*'Gas Calculations'!LSLT</f>
        <v>242.73444126980229</v>
      </c>
      <c r="U95" s="5">
        <f>U94</f>
        <v>266.0246512818768</v>
      </c>
      <c r="V95" s="5">
        <f>V94</f>
        <v>239.4221861536891</v>
      </c>
      <c r="W95" s="62">
        <f t="shared" si="43"/>
        <v>0.86570247933884303</v>
      </c>
    </row>
    <row r="96" spans="2:23" x14ac:dyDescent="0.35">
      <c r="B96">
        <v>75</v>
      </c>
      <c r="C96" s="16" t="str">
        <f t="shared" si="28"/>
        <v>Tue</v>
      </c>
      <c r="D96" s="12">
        <v>44726</v>
      </c>
      <c r="E96">
        <f t="shared" si="44"/>
        <v>108</v>
      </c>
      <c r="F96" s="61">
        <f t="shared" si="30"/>
        <v>242</v>
      </c>
      <c r="G96" s="61">
        <f t="shared" si="31"/>
        <v>51</v>
      </c>
      <c r="H96" s="61">
        <f t="shared" si="32"/>
        <v>75</v>
      </c>
      <c r="I96" s="61">
        <f t="shared" si="33"/>
        <v>26</v>
      </c>
      <c r="J96" s="61">
        <f t="shared" si="34"/>
        <v>0</v>
      </c>
      <c r="K96" s="11">
        <f t="shared" si="35"/>
        <v>0.4462809917355372</v>
      </c>
      <c r="L96" s="11">
        <f t="shared" si="36"/>
        <v>0.10841479862435233</v>
      </c>
      <c r="M96" s="11">
        <f t="shared" si="37"/>
        <v>0.41942148760330578</v>
      </c>
      <c r="N96" s="11">
        <f t="shared" si="38"/>
        <v>0.31753165371097414</v>
      </c>
      <c r="O96" s="11">
        <f t="shared" si="39"/>
        <v>0</v>
      </c>
      <c r="P96" s="11">
        <f t="shared" si="40"/>
        <v>0</v>
      </c>
      <c r="Q96" s="20">
        <f t="shared" si="41"/>
        <v>0.42594645233532646</v>
      </c>
      <c r="R96" s="20">
        <f t="shared" si="42"/>
        <v>1</v>
      </c>
      <c r="S96" s="5">
        <f t="shared" si="29"/>
        <v>270.41746021868397</v>
      </c>
      <c r="T96" s="5">
        <f>S96*'Gas Calculations'!LSLT</f>
        <v>243.37571419681558</v>
      </c>
      <c r="U96" s="5">
        <f>U94</f>
        <v>266.0246512818768</v>
      </c>
      <c r="V96" s="5">
        <f>V94</f>
        <v>239.4221861536891</v>
      </c>
      <c r="W96" s="62">
        <f t="shared" si="43"/>
        <v>0.86570247933884303</v>
      </c>
    </row>
    <row r="97" spans="2:23" x14ac:dyDescent="0.35">
      <c r="B97">
        <v>76</v>
      </c>
      <c r="C97" s="16" t="str">
        <f t="shared" si="28"/>
        <v>Wed</v>
      </c>
      <c r="D97" s="12">
        <v>44727</v>
      </c>
      <c r="E97">
        <f t="shared" si="44"/>
        <v>107</v>
      </c>
      <c r="F97" s="61">
        <f t="shared" si="30"/>
        <v>242</v>
      </c>
      <c r="G97" s="61">
        <f t="shared" si="31"/>
        <v>51</v>
      </c>
      <c r="H97" s="61">
        <f t="shared" si="32"/>
        <v>76</v>
      </c>
      <c r="I97" s="61">
        <f t="shared" si="33"/>
        <v>27</v>
      </c>
      <c r="J97" s="61">
        <f t="shared" si="34"/>
        <v>0</v>
      </c>
      <c r="K97" s="11">
        <f t="shared" si="35"/>
        <v>0.44214876033057854</v>
      </c>
      <c r="L97" s="11">
        <f t="shared" si="36"/>
        <v>0.10741095789634907</v>
      </c>
      <c r="M97" s="11">
        <f t="shared" si="37"/>
        <v>0.42355371900826444</v>
      </c>
      <c r="N97" s="11">
        <f t="shared" si="38"/>
        <v>0.3206600443879295</v>
      </c>
      <c r="O97" s="11">
        <f t="shared" si="39"/>
        <v>0</v>
      </c>
      <c r="P97" s="11">
        <f t="shared" si="40"/>
        <v>0</v>
      </c>
      <c r="Q97" s="20">
        <f t="shared" si="41"/>
        <v>0.42807100228427858</v>
      </c>
      <c r="R97" s="20">
        <f t="shared" si="42"/>
        <v>0.99999999999999989</v>
      </c>
      <c r="S97" s="5">
        <f t="shared" si="29"/>
        <v>271.12291305354682</v>
      </c>
      <c r="T97" s="5">
        <f>S97*'Gas Calculations'!LSLT</f>
        <v>244.01062174819214</v>
      </c>
      <c r="U97" s="5">
        <f>U94</f>
        <v>266.0246512818768</v>
      </c>
      <c r="V97" s="5">
        <f>V94</f>
        <v>239.4221861536891</v>
      </c>
      <c r="W97" s="62">
        <f t="shared" si="43"/>
        <v>0.86570247933884303</v>
      </c>
    </row>
    <row r="98" spans="2:23" x14ac:dyDescent="0.35">
      <c r="B98">
        <v>77</v>
      </c>
      <c r="C98" s="16" t="str">
        <f t="shared" si="28"/>
        <v>Thu</v>
      </c>
      <c r="D98" s="12">
        <v>44728</v>
      </c>
      <c r="E98">
        <f t="shared" si="44"/>
        <v>106</v>
      </c>
      <c r="F98" s="61">
        <f t="shared" si="30"/>
        <v>242</v>
      </c>
      <c r="G98" s="61">
        <f t="shared" si="31"/>
        <v>51</v>
      </c>
      <c r="H98" s="61">
        <f t="shared" si="32"/>
        <v>77</v>
      </c>
      <c r="I98" s="61">
        <f t="shared" si="33"/>
        <v>28</v>
      </c>
      <c r="J98" s="61">
        <f t="shared" si="34"/>
        <v>0</v>
      </c>
      <c r="K98" s="11">
        <f t="shared" si="35"/>
        <v>0.43801652892561982</v>
      </c>
      <c r="L98" s="11">
        <f t="shared" si="36"/>
        <v>0.10640711716834579</v>
      </c>
      <c r="M98" s="11">
        <f t="shared" si="37"/>
        <v>0.42768595041322316</v>
      </c>
      <c r="N98" s="11">
        <f t="shared" si="38"/>
        <v>0.32378843506488497</v>
      </c>
      <c r="O98" s="11">
        <f t="shared" si="39"/>
        <v>0</v>
      </c>
      <c r="P98" s="11">
        <f t="shared" si="40"/>
        <v>0</v>
      </c>
      <c r="Q98" s="20">
        <f t="shared" si="41"/>
        <v>0.43019555223323075</v>
      </c>
      <c r="R98" s="20">
        <f t="shared" si="42"/>
        <v>1</v>
      </c>
      <c r="S98" s="5">
        <f t="shared" si="29"/>
        <v>271.8213980349463</v>
      </c>
      <c r="T98" s="5">
        <f>S98*'Gas Calculations'!LSLT</f>
        <v>244.63925823145166</v>
      </c>
      <c r="U98" s="5">
        <f>U94</f>
        <v>266.0246512818768</v>
      </c>
      <c r="V98" s="5">
        <f>V94</f>
        <v>239.4221861536891</v>
      </c>
      <c r="W98" s="62">
        <f t="shared" si="43"/>
        <v>0.86570247933884303</v>
      </c>
    </row>
    <row r="99" spans="2:23" x14ac:dyDescent="0.35">
      <c r="B99">
        <v>78</v>
      </c>
      <c r="C99" s="16" t="str">
        <f t="shared" si="28"/>
        <v>Fri</v>
      </c>
      <c r="D99" s="12">
        <v>44729</v>
      </c>
      <c r="E99">
        <f t="shared" si="44"/>
        <v>105</v>
      </c>
      <c r="F99" s="61">
        <f t="shared" si="30"/>
        <v>242</v>
      </c>
      <c r="G99" s="61">
        <f t="shared" si="31"/>
        <v>51</v>
      </c>
      <c r="H99" s="61">
        <f t="shared" si="32"/>
        <v>78</v>
      </c>
      <c r="I99" s="61">
        <f t="shared" si="33"/>
        <v>29</v>
      </c>
      <c r="J99" s="61">
        <f t="shared" si="34"/>
        <v>0</v>
      </c>
      <c r="K99" s="11">
        <f t="shared" si="35"/>
        <v>0.43388429752066116</v>
      </c>
      <c r="L99" s="11">
        <f t="shared" si="36"/>
        <v>0.10540327644034253</v>
      </c>
      <c r="M99" s="11">
        <f t="shared" si="37"/>
        <v>0.43181818181818182</v>
      </c>
      <c r="N99" s="11">
        <f t="shared" si="38"/>
        <v>0.32691682574184039</v>
      </c>
      <c r="O99" s="11">
        <f t="shared" si="39"/>
        <v>0</v>
      </c>
      <c r="P99" s="11">
        <f t="shared" si="40"/>
        <v>0</v>
      </c>
      <c r="Q99" s="20">
        <f t="shared" si="41"/>
        <v>0.43232010218218292</v>
      </c>
      <c r="R99" s="20">
        <f t="shared" si="42"/>
        <v>1</v>
      </c>
      <c r="S99" s="5">
        <f t="shared" si="29"/>
        <v>272.51301788921381</v>
      </c>
      <c r="T99" s="5">
        <f>S99*'Gas Calculations'!LSLT</f>
        <v>245.26171610029243</v>
      </c>
      <c r="U99" s="5">
        <f>U94</f>
        <v>266.0246512818768</v>
      </c>
      <c r="V99" s="5">
        <f>V94</f>
        <v>239.4221861536891</v>
      </c>
      <c r="W99" s="62">
        <f t="shared" si="43"/>
        <v>0.86570247933884303</v>
      </c>
    </row>
    <row r="100" spans="2:23" x14ac:dyDescent="0.35">
      <c r="B100">
        <v>79</v>
      </c>
      <c r="C100" s="16" t="str">
        <f t="shared" si="28"/>
        <v>Sat</v>
      </c>
      <c r="D100" s="12">
        <v>44730</v>
      </c>
      <c r="E100">
        <f t="shared" si="44"/>
        <v>104</v>
      </c>
      <c r="F100" s="61">
        <f t="shared" si="30"/>
        <v>242</v>
      </c>
      <c r="G100" s="61">
        <f t="shared" si="31"/>
        <v>51</v>
      </c>
      <c r="H100" s="61">
        <f t="shared" si="32"/>
        <v>79</v>
      </c>
      <c r="I100" s="61">
        <f t="shared" si="33"/>
        <v>30</v>
      </c>
      <c r="J100" s="61">
        <f t="shared" si="34"/>
        <v>0</v>
      </c>
      <c r="K100" s="11">
        <f t="shared" si="35"/>
        <v>0.42975206611570249</v>
      </c>
      <c r="L100" s="11">
        <f t="shared" si="36"/>
        <v>0.10439943571233927</v>
      </c>
      <c r="M100" s="11">
        <f t="shared" si="37"/>
        <v>0.43595041322314049</v>
      </c>
      <c r="N100" s="11">
        <f t="shared" si="38"/>
        <v>0.33004521641879575</v>
      </c>
      <c r="O100" s="11">
        <f t="shared" si="39"/>
        <v>0</v>
      </c>
      <c r="P100" s="11">
        <f t="shared" si="40"/>
        <v>0</v>
      </c>
      <c r="Q100" s="20">
        <f t="shared" si="41"/>
        <v>0.43444465213113503</v>
      </c>
      <c r="R100" s="20">
        <f t="shared" si="42"/>
        <v>1</v>
      </c>
      <c r="S100" s="5">
        <f t="shared" si="29"/>
        <v>273.19787333324467</v>
      </c>
      <c r="T100" s="5">
        <f>S100*'Gas Calculations'!LSLT</f>
        <v>245.87808599992022</v>
      </c>
      <c r="U100" s="5">
        <f>U94</f>
        <v>266.0246512818768</v>
      </c>
      <c r="V100" s="5">
        <f>V94</f>
        <v>239.4221861536891</v>
      </c>
      <c r="W100" s="62">
        <f t="shared" si="43"/>
        <v>0.86570247933884303</v>
      </c>
    </row>
    <row r="101" spans="2:23" x14ac:dyDescent="0.35">
      <c r="B101">
        <v>80</v>
      </c>
      <c r="C101" s="16" t="str">
        <f t="shared" si="28"/>
        <v>Sun</v>
      </c>
      <c r="D101" s="12">
        <v>44731</v>
      </c>
      <c r="E101">
        <f t="shared" si="44"/>
        <v>103</v>
      </c>
      <c r="F101" s="61">
        <f t="shared" si="30"/>
        <v>242</v>
      </c>
      <c r="G101" s="61">
        <f t="shared" si="31"/>
        <v>51</v>
      </c>
      <c r="H101" s="61">
        <f t="shared" si="32"/>
        <v>80</v>
      </c>
      <c r="I101" s="61">
        <f t="shared" si="33"/>
        <v>31</v>
      </c>
      <c r="J101" s="61">
        <f t="shared" si="34"/>
        <v>0</v>
      </c>
      <c r="K101" s="11">
        <f t="shared" si="35"/>
        <v>0.42561983471074383</v>
      </c>
      <c r="L101" s="11">
        <f t="shared" si="36"/>
        <v>0.10339559498433602</v>
      </c>
      <c r="M101" s="11">
        <f t="shared" si="37"/>
        <v>0.44008264462809915</v>
      </c>
      <c r="N101" s="11">
        <f t="shared" si="38"/>
        <v>0.33317360709575117</v>
      </c>
      <c r="O101" s="11">
        <f t="shared" si="39"/>
        <v>0</v>
      </c>
      <c r="P101" s="11">
        <f t="shared" si="40"/>
        <v>0</v>
      </c>
      <c r="Q101" s="20">
        <f t="shared" si="41"/>
        <v>0.4365692020800872</v>
      </c>
      <c r="R101" s="20">
        <f t="shared" si="42"/>
        <v>1</v>
      </c>
      <c r="S101" s="5">
        <f t="shared" si="29"/>
        <v>273.87606312339187</v>
      </c>
      <c r="T101" s="5">
        <f>S101*'Gas Calculations'!LSLT</f>
        <v>246.48845681105269</v>
      </c>
      <c r="U101" s="5">
        <f>AVERAGE(S95:S99)</f>
        <v>271.1159447881231</v>
      </c>
      <c r="V101" s="5">
        <f>AVERAGE(T95:T99)</f>
        <v>244.00435030931081</v>
      </c>
      <c r="W101" s="62">
        <f t="shared" si="43"/>
        <v>0.86570247933884303</v>
      </c>
    </row>
    <row r="102" spans="2:23" x14ac:dyDescent="0.35">
      <c r="B102">
        <v>81</v>
      </c>
      <c r="C102" s="16" t="str">
        <f t="shared" si="28"/>
        <v>Mon</v>
      </c>
      <c r="D102" s="12">
        <v>44732</v>
      </c>
      <c r="E102">
        <f t="shared" si="44"/>
        <v>102</v>
      </c>
      <c r="F102" s="61">
        <f t="shared" si="30"/>
        <v>242</v>
      </c>
      <c r="G102" s="61">
        <f t="shared" si="31"/>
        <v>51</v>
      </c>
      <c r="H102" s="61">
        <f t="shared" si="32"/>
        <v>81</v>
      </c>
      <c r="I102" s="61">
        <f t="shared" si="33"/>
        <v>32</v>
      </c>
      <c r="J102" s="61">
        <f t="shared" si="34"/>
        <v>0</v>
      </c>
      <c r="K102" s="11">
        <f t="shared" si="35"/>
        <v>0.42148760330578511</v>
      </c>
      <c r="L102" s="11">
        <f t="shared" si="36"/>
        <v>0.10239175425633275</v>
      </c>
      <c r="M102" s="11">
        <f t="shared" si="37"/>
        <v>0.44421487603305787</v>
      </c>
      <c r="N102" s="11">
        <f t="shared" si="38"/>
        <v>0.33630199777270658</v>
      </c>
      <c r="O102" s="11">
        <f t="shared" si="39"/>
        <v>0</v>
      </c>
      <c r="P102" s="11">
        <f t="shared" si="40"/>
        <v>0</v>
      </c>
      <c r="Q102" s="20">
        <f t="shared" si="41"/>
        <v>0.43869375202903932</v>
      </c>
      <c r="R102" s="20">
        <f t="shared" si="42"/>
        <v>1</v>
      </c>
      <c r="S102" s="5">
        <f t="shared" si="29"/>
        <v>274.54768410294002</v>
      </c>
      <c r="T102" s="5">
        <f>S102*'Gas Calculations'!LSLT</f>
        <v>247.09291569264602</v>
      </c>
      <c r="U102" s="5">
        <f>U101</f>
        <v>271.1159447881231</v>
      </c>
      <c r="V102" s="5">
        <f>V101</f>
        <v>244.00435030931081</v>
      </c>
      <c r="W102" s="62">
        <f t="shared" si="43"/>
        <v>0.86570247933884303</v>
      </c>
    </row>
    <row r="103" spans="2:23" x14ac:dyDescent="0.35">
      <c r="B103">
        <v>82</v>
      </c>
      <c r="C103" s="16" t="str">
        <f t="shared" si="28"/>
        <v>Tue</v>
      </c>
      <c r="D103" s="12">
        <v>44733</v>
      </c>
      <c r="E103">
        <f t="shared" si="44"/>
        <v>101</v>
      </c>
      <c r="F103" s="61">
        <f t="shared" si="30"/>
        <v>242</v>
      </c>
      <c r="G103" s="61">
        <f t="shared" si="31"/>
        <v>51</v>
      </c>
      <c r="H103" s="61">
        <f t="shared" si="32"/>
        <v>82</v>
      </c>
      <c r="I103" s="61">
        <f t="shared" si="33"/>
        <v>33</v>
      </c>
      <c r="J103" s="61">
        <f t="shared" si="34"/>
        <v>0</v>
      </c>
      <c r="K103" s="11">
        <f t="shared" si="35"/>
        <v>0.41735537190082644</v>
      </c>
      <c r="L103" s="11">
        <f t="shared" si="36"/>
        <v>0.10138791352832949</v>
      </c>
      <c r="M103" s="11">
        <f t="shared" si="37"/>
        <v>0.44834710743801653</v>
      </c>
      <c r="N103" s="11">
        <f t="shared" si="38"/>
        <v>0.339430388449662</v>
      </c>
      <c r="O103" s="11">
        <f t="shared" si="39"/>
        <v>0</v>
      </c>
      <c r="P103" s="11">
        <f t="shared" si="40"/>
        <v>0</v>
      </c>
      <c r="Q103" s="20">
        <f t="shared" si="41"/>
        <v>0.44081830197799149</v>
      </c>
      <c r="R103" s="20">
        <f t="shared" si="42"/>
        <v>1</v>
      </c>
      <c r="S103" s="5">
        <f t="shared" si="29"/>
        <v>275.21283124820587</v>
      </c>
      <c r="T103" s="5">
        <f>S103*'Gas Calculations'!LSLT</f>
        <v>247.6915481233853</v>
      </c>
      <c r="U103" s="5">
        <f>U101</f>
        <v>271.1159447881231</v>
      </c>
      <c r="V103" s="5">
        <f>V101</f>
        <v>244.00435030931081</v>
      </c>
      <c r="W103" s="62">
        <f t="shared" si="43"/>
        <v>0.86570247933884303</v>
      </c>
    </row>
    <row r="104" spans="2:23" x14ac:dyDescent="0.35">
      <c r="B104">
        <v>83</v>
      </c>
      <c r="C104" s="16" t="str">
        <f t="shared" si="28"/>
        <v>Wed</v>
      </c>
      <c r="D104" s="12">
        <v>44734</v>
      </c>
      <c r="E104">
        <f t="shared" si="44"/>
        <v>100</v>
      </c>
      <c r="F104" s="61">
        <f t="shared" si="30"/>
        <v>242</v>
      </c>
      <c r="G104" s="61">
        <f t="shared" si="31"/>
        <v>51</v>
      </c>
      <c r="H104" s="61">
        <f t="shared" si="32"/>
        <v>83</v>
      </c>
      <c r="I104" s="61">
        <f t="shared" si="33"/>
        <v>34</v>
      </c>
      <c r="J104" s="61">
        <f t="shared" si="34"/>
        <v>0</v>
      </c>
      <c r="K104" s="11">
        <f t="shared" si="35"/>
        <v>0.41322314049586778</v>
      </c>
      <c r="L104" s="11">
        <f t="shared" si="36"/>
        <v>0.10038407280032623</v>
      </c>
      <c r="M104" s="11">
        <f t="shared" si="37"/>
        <v>0.4524793388429752</v>
      </c>
      <c r="N104" s="11">
        <f t="shared" si="38"/>
        <v>0.34255877912661742</v>
      </c>
      <c r="O104" s="11">
        <f t="shared" si="39"/>
        <v>0</v>
      </c>
      <c r="P104" s="11">
        <f t="shared" si="40"/>
        <v>0</v>
      </c>
      <c r="Q104" s="20">
        <f t="shared" si="41"/>
        <v>0.44294285192694366</v>
      </c>
      <c r="R104" s="20">
        <f t="shared" si="42"/>
        <v>1</v>
      </c>
      <c r="S104" s="5">
        <f t="shared" si="29"/>
        <v>275.87159771331227</v>
      </c>
      <c r="T104" s="5">
        <f>S104*'Gas Calculations'!LSLT</f>
        <v>248.28443794198105</v>
      </c>
      <c r="U104" s="5">
        <f>U101</f>
        <v>271.1159447881231</v>
      </c>
      <c r="V104" s="5">
        <f>V101</f>
        <v>244.00435030931081</v>
      </c>
      <c r="W104" s="62">
        <f t="shared" si="43"/>
        <v>0.86570247933884303</v>
      </c>
    </row>
    <row r="105" spans="2:23" x14ac:dyDescent="0.35">
      <c r="B105">
        <v>84</v>
      </c>
      <c r="C105" s="16" t="str">
        <f t="shared" si="28"/>
        <v>Thu</v>
      </c>
      <c r="D105" s="12">
        <v>44735</v>
      </c>
      <c r="E105">
        <f t="shared" si="44"/>
        <v>99</v>
      </c>
      <c r="F105" s="61">
        <f t="shared" si="30"/>
        <v>242</v>
      </c>
      <c r="G105" s="61">
        <f t="shared" si="31"/>
        <v>51</v>
      </c>
      <c r="H105" s="61">
        <f t="shared" si="32"/>
        <v>84</v>
      </c>
      <c r="I105" s="61">
        <f t="shared" si="33"/>
        <v>35</v>
      </c>
      <c r="J105" s="61">
        <f t="shared" si="34"/>
        <v>0</v>
      </c>
      <c r="K105" s="11">
        <f t="shared" si="35"/>
        <v>0.40909090909090912</v>
      </c>
      <c r="L105" s="11">
        <f t="shared" si="36"/>
        <v>9.9380232072322966E-2</v>
      </c>
      <c r="M105" s="11">
        <f t="shared" si="37"/>
        <v>0.45661157024793386</v>
      </c>
      <c r="N105" s="11">
        <f t="shared" si="38"/>
        <v>0.34568716980357284</v>
      </c>
      <c r="O105" s="11">
        <f t="shared" si="39"/>
        <v>0</v>
      </c>
      <c r="P105" s="11">
        <f t="shared" si="40"/>
        <v>0</v>
      </c>
      <c r="Q105" s="20">
        <f t="shared" si="41"/>
        <v>0.44506740187589577</v>
      </c>
      <c r="R105" s="20">
        <f t="shared" si="42"/>
        <v>1</v>
      </c>
      <c r="S105" s="5">
        <f t="shared" si="29"/>
        <v>276.52407487368009</v>
      </c>
      <c r="T105" s="5">
        <f>S105*'Gas Calculations'!LSLT</f>
        <v>248.87166738631208</v>
      </c>
      <c r="U105" s="5">
        <f>U101</f>
        <v>271.1159447881231</v>
      </c>
      <c r="V105" s="5">
        <f>V101</f>
        <v>244.00435030931081</v>
      </c>
      <c r="W105" s="62">
        <f t="shared" si="43"/>
        <v>0.86570247933884303</v>
      </c>
    </row>
    <row r="106" spans="2:23" x14ac:dyDescent="0.35">
      <c r="B106">
        <v>85</v>
      </c>
      <c r="C106" s="16" t="str">
        <f t="shared" si="28"/>
        <v>Fri</v>
      </c>
      <c r="D106" s="12">
        <v>44736</v>
      </c>
      <c r="E106">
        <f t="shared" si="44"/>
        <v>98</v>
      </c>
      <c r="F106" s="61">
        <f t="shared" si="30"/>
        <v>242</v>
      </c>
      <c r="G106" s="61">
        <f t="shared" si="31"/>
        <v>51</v>
      </c>
      <c r="H106" s="61">
        <f t="shared" si="32"/>
        <v>85</v>
      </c>
      <c r="I106" s="61">
        <f t="shared" si="33"/>
        <v>36</v>
      </c>
      <c r="J106" s="61">
        <f t="shared" si="34"/>
        <v>0</v>
      </c>
      <c r="K106" s="11">
        <f t="shared" si="35"/>
        <v>0.4049586776859504</v>
      </c>
      <c r="L106" s="11">
        <f t="shared" si="36"/>
        <v>9.8376391344319691E-2</v>
      </c>
      <c r="M106" s="11">
        <f t="shared" si="37"/>
        <v>0.46074380165289258</v>
      </c>
      <c r="N106" s="11">
        <f t="shared" si="38"/>
        <v>0.34881556048052825</v>
      </c>
      <c r="O106" s="11">
        <f t="shared" si="39"/>
        <v>0</v>
      </c>
      <c r="P106" s="11">
        <f t="shared" si="40"/>
        <v>0</v>
      </c>
      <c r="Q106" s="20">
        <f t="shared" si="41"/>
        <v>0.44719195182484794</v>
      </c>
      <c r="R106" s="20">
        <f t="shared" si="42"/>
        <v>1</v>
      </c>
      <c r="S106" s="5">
        <f t="shared" si="29"/>
        <v>277.17035236827974</v>
      </c>
      <c r="T106" s="5">
        <f>S106*'Gas Calculations'!LSLT</f>
        <v>249.45331713145177</v>
      </c>
      <c r="U106" s="5">
        <f>U101</f>
        <v>271.1159447881231</v>
      </c>
      <c r="V106" s="5">
        <f>V101</f>
        <v>244.00435030931081</v>
      </c>
      <c r="W106" s="62">
        <f t="shared" si="43"/>
        <v>0.86570247933884303</v>
      </c>
    </row>
    <row r="107" spans="2:23" x14ac:dyDescent="0.35">
      <c r="B107">
        <v>86</v>
      </c>
      <c r="C107" s="16" t="str">
        <f t="shared" si="28"/>
        <v>Sat</v>
      </c>
      <c r="D107" s="12">
        <v>44737</v>
      </c>
      <c r="E107">
        <f t="shared" si="44"/>
        <v>97</v>
      </c>
      <c r="F107" s="61">
        <f t="shared" si="30"/>
        <v>242</v>
      </c>
      <c r="G107" s="61">
        <f t="shared" si="31"/>
        <v>51</v>
      </c>
      <c r="H107" s="61">
        <f t="shared" si="32"/>
        <v>86</v>
      </c>
      <c r="I107" s="61">
        <f t="shared" si="33"/>
        <v>37</v>
      </c>
      <c r="J107" s="61">
        <f t="shared" si="34"/>
        <v>0</v>
      </c>
      <c r="K107" s="11">
        <f t="shared" si="35"/>
        <v>0.40082644628099173</v>
      </c>
      <c r="L107" s="11">
        <f t="shared" si="36"/>
        <v>9.7372550616316431E-2</v>
      </c>
      <c r="M107" s="11">
        <f t="shared" si="37"/>
        <v>0.46487603305785125</v>
      </c>
      <c r="N107" s="11">
        <f t="shared" si="38"/>
        <v>0.35194395115748367</v>
      </c>
      <c r="O107" s="11">
        <f t="shared" si="39"/>
        <v>0</v>
      </c>
      <c r="P107" s="11">
        <f t="shared" si="40"/>
        <v>0</v>
      </c>
      <c r="Q107" s="20">
        <f t="shared" si="41"/>
        <v>0.44931650177380011</v>
      </c>
      <c r="R107" s="20">
        <f t="shared" si="42"/>
        <v>0.99999999999999989</v>
      </c>
      <c r="S107" s="5">
        <f t="shared" si="29"/>
        <v>277.81051814068474</v>
      </c>
      <c r="T107" s="5">
        <f>S107*'Gas Calculations'!LSLT</f>
        <v>250.02946632661627</v>
      </c>
      <c r="U107" s="5">
        <f>U101</f>
        <v>271.1159447881231</v>
      </c>
      <c r="V107" s="5">
        <f>V101</f>
        <v>244.00435030931081</v>
      </c>
      <c r="W107" s="62">
        <f t="shared" si="43"/>
        <v>0.86570247933884303</v>
      </c>
    </row>
    <row r="108" spans="2:23" x14ac:dyDescent="0.35">
      <c r="B108">
        <v>87</v>
      </c>
      <c r="C108" s="16" t="str">
        <f t="shared" si="28"/>
        <v>Sun</v>
      </c>
      <c r="D108" s="12">
        <v>44738</v>
      </c>
      <c r="E108">
        <f t="shared" si="44"/>
        <v>96</v>
      </c>
      <c r="F108" s="61">
        <f t="shared" si="30"/>
        <v>242</v>
      </c>
      <c r="G108" s="61">
        <f t="shared" si="31"/>
        <v>51</v>
      </c>
      <c r="H108" s="61">
        <f t="shared" si="32"/>
        <v>87</v>
      </c>
      <c r="I108" s="61">
        <f t="shared" si="33"/>
        <v>38</v>
      </c>
      <c r="J108" s="61">
        <f t="shared" si="34"/>
        <v>0</v>
      </c>
      <c r="K108" s="11">
        <f t="shared" si="35"/>
        <v>0.39669421487603307</v>
      </c>
      <c r="L108" s="11">
        <f t="shared" si="36"/>
        <v>9.6368709888313184E-2</v>
      </c>
      <c r="M108" s="11">
        <f t="shared" si="37"/>
        <v>0.46900826446280991</v>
      </c>
      <c r="N108" s="11">
        <f t="shared" si="38"/>
        <v>0.35507234183443903</v>
      </c>
      <c r="O108" s="11">
        <f t="shared" si="39"/>
        <v>0</v>
      </c>
      <c r="P108" s="11">
        <f t="shared" si="40"/>
        <v>0</v>
      </c>
      <c r="Q108" s="20">
        <f t="shared" si="41"/>
        <v>0.45144105172275223</v>
      </c>
      <c r="R108" s="20">
        <f t="shared" si="42"/>
        <v>0.99999999999999989</v>
      </c>
      <c r="S108" s="5">
        <f t="shared" si="29"/>
        <v>278.44465847896538</v>
      </c>
      <c r="T108" s="5">
        <f>S108*'Gas Calculations'!LSLT</f>
        <v>250.60019263106884</v>
      </c>
      <c r="U108" s="5">
        <f>AVERAGE(S102:S106)</f>
        <v>275.8653080612836</v>
      </c>
      <c r="V108" s="5">
        <f>AVERAGE(T102:T106)</f>
        <v>248.27877725515526</v>
      </c>
      <c r="W108" s="62">
        <f t="shared" si="43"/>
        <v>0.86570247933884303</v>
      </c>
    </row>
    <row r="109" spans="2:23" x14ac:dyDescent="0.35">
      <c r="B109">
        <v>88</v>
      </c>
      <c r="C109" s="16" t="str">
        <f t="shared" si="28"/>
        <v>Mon</v>
      </c>
      <c r="D109" s="12">
        <v>44739</v>
      </c>
      <c r="E109">
        <f t="shared" si="44"/>
        <v>95</v>
      </c>
      <c r="F109" s="61">
        <f t="shared" si="30"/>
        <v>242</v>
      </c>
      <c r="G109" s="61">
        <f t="shared" si="31"/>
        <v>51</v>
      </c>
      <c r="H109" s="61">
        <f t="shared" si="32"/>
        <v>88</v>
      </c>
      <c r="I109" s="61">
        <f t="shared" si="33"/>
        <v>39</v>
      </c>
      <c r="J109" s="61">
        <f t="shared" si="34"/>
        <v>0</v>
      </c>
      <c r="K109" s="11">
        <f t="shared" si="35"/>
        <v>0.3925619834710744</v>
      </c>
      <c r="L109" s="11">
        <f t="shared" si="36"/>
        <v>9.5364869160309923E-2</v>
      </c>
      <c r="M109" s="11">
        <f t="shared" si="37"/>
        <v>0.47314049586776857</v>
      </c>
      <c r="N109" s="11">
        <f t="shared" si="38"/>
        <v>0.35820073251139445</v>
      </c>
      <c r="O109" s="11">
        <f t="shared" si="39"/>
        <v>0</v>
      </c>
      <c r="P109" s="11">
        <f t="shared" si="40"/>
        <v>0</v>
      </c>
      <c r="Q109" s="20">
        <f t="shared" si="41"/>
        <v>0.45356560167170434</v>
      </c>
      <c r="R109" s="20">
        <f t="shared" si="42"/>
        <v>1</v>
      </c>
      <c r="S109" s="5">
        <f t="shared" si="29"/>
        <v>279.07285805446179</v>
      </c>
      <c r="T109" s="5">
        <f>S109*'Gas Calculations'!LSLT</f>
        <v>251.16557224901561</v>
      </c>
      <c r="U109" s="5">
        <f>U108</f>
        <v>275.8653080612836</v>
      </c>
      <c r="V109" s="5">
        <f>V108</f>
        <v>248.27877725515526</v>
      </c>
      <c r="W109" s="62">
        <f t="shared" si="43"/>
        <v>0.86570247933884303</v>
      </c>
    </row>
    <row r="110" spans="2:23" x14ac:dyDescent="0.35">
      <c r="B110">
        <v>89</v>
      </c>
      <c r="C110" s="16" t="str">
        <f t="shared" si="28"/>
        <v>Tue</v>
      </c>
      <c r="D110" s="12">
        <v>44740</v>
      </c>
      <c r="E110">
        <f t="shared" si="44"/>
        <v>94</v>
      </c>
      <c r="F110" s="61">
        <f t="shared" si="30"/>
        <v>242</v>
      </c>
      <c r="G110" s="61">
        <f t="shared" si="31"/>
        <v>51</v>
      </c>
      <c r="H110" s="61">
        <f t="shared" si="32"/>
        <v>89</v>
      </c>
      <c r="I110" s="61">
        <f t="shared" si="33"/>
        <v>40</v>
      </c>
      <c r="J110" s="61">
        <f t="shared" si="34"/>
        <v>0</v>
      </c>
      <c r="K110" s="11">
        <f t="shared" si="35"/>
        <v>0.38842975206611569</v>
      </c>
      <c r="L110" s="11">
        <f t="shared" si="36"/>
        <v>9.4361028432306648E-2</v>
      </c>
      <c r="M110" s="11">
        <f t="shared" si="37"/>
        <v>0.47727272727272729</v>
      </c>
      <c r="N110" s="11">
        <f t="shared" si="38"/>
        <v>0.36132912318834987</v>
      </c>
      <c r="O110" s="11">
        <f t="shared" si="39"/>
        <v>0</v>
      </c>
      <c r="P110" s="11">
        <f t="shared" si="40"/>
        <v>0</v>
      </c>
      <c r="Q110" s="20">
        <f t="shared" si="41"/>
        <v>0.45569015162065651</v>
      </c>
      <c r="R110" s="20">
        <f t="shared" si="42"/>
        <v>1</v>
      </c>
      <c r="S110" s="5">
        <f t="shared" si="29"/>
        <v>279.69519995947178</v>
      </c>
      <c r="T110" s="5">
        <f>S110*'Gas Calculations'!LSLT</f>
        <v>251.72567996352461</v>
      </c>
      <c r="U110" s="5">
        <f>U108</f>
        <v>275.8653080612836</v>
      </c>
      <c r="V110" s="5">
        <f>V108</f>
        <v>248.27877725515526</v>
      </c>
      <c r="W110" s="62">
        <f t="shared" si="43"/>
        <v>0.86570247933884303</v>
      </c>
    </row>
    <row r="111" spans="2:23" x14ac:dyDescent="0.35">
      <c r="B111">
        <v>90</v>
      </c>
      <c r="C111" s="16" t="str">
        <f t="shared" si="28"/>
        <v>Wed</v>
      </c>
      <c r="D111" s="12">
        <v>44741</v>
      </c>
      <c r="E111">
        <f t="shared" si="44"/>
        <v>93</v>
      </c>
      <c r="F111" s="61">
        <f t="shared" si="30"/>
        <v>242</v>
      </c>
      <c r="G111" s="61">
        <f t="shared" si="31"/>
        <v>51</v>
      </c>
      <c r="H111" s="61">
        <f t="shared" si="32"/>
        <v>90</v>
      </c>
      <c r="I111" s="61">
        <f t="shared" si="33"/>
        <v>41</v>
      </c>
      <c r="J111" s="61">
        <f t="shared" si="34"/>
        <v>0</v>
      </c>
      <c r="K111" s="11">
        <f t="shared" si="35"/>
        <v>0.38429752066115702</v>
      </c>
      <c r="L111" s="11">
        <f t="shared" si="36"/>
        <v>9.3357187704303388E-2</v>
      </c>
      <c r="M111" s="11">
        <f t="shared" si="37"/>
        <v>0.48140495867768596</v>
      </c>
      <c r="N111" s="11">
        <f t="shared" si="38"/>
        <v>0.36445751386530528</v>
      </c>
      <c r="O111" s="11">
        <f t="shared" si="39"/>
        <v>0</v>
      </c>
      <c r="P111" s="11">
        <f t="shared" si="40"/>
        <v>0</v>
      </c>
      <c r="Q111" s="20">
        <f t="shared" si="41"/>
        <v>0.45781470156960868</v>
      </c>
      <c r="R111" s="20">
        <f t="shared" si="42"/>
        <v>1</v>
      </c>
      <c r="S111" s="5">
        <f t="shared" si="29"/>
        <v>280.31176574388979</v>
      </c>
      <c r="T111" s="5">
        <f>S111*'Gas Calculations'!LSLT</f>
        <v>252.28058916950081</v>
      </c>
      <c r="U111" s="5">
        <f>U108</f>
        <v>275.8653080612836</v>
      </c>
      <c r="V111" s="5">
        <f>V108</f>
        <v>248.27877725515526</v>
      </c>
      <c r="W111" s="62">
        <f t="shared" si="43"/>
        <v>0.86570247933884303</v>
      </c>
    </row>
    <row r="112" spans="2:23" x14ac:dyDescent="0.35">
      <c r="B112">
        <v>91</v>
      </c>
      <c r="C112" s="16" t="str">
        <f t="shared" si="28"/>
        <v>Thu</v>
      </c>
      <c r="D112" s="12">
        <v>44742</v>
      </c>
      <c r="E112">
        <f t="shared" si="44"/>
        <v>92</v>
      </c>
      <c r="F112" s="61">
        <f t="shared" si="30"/>
        <v>242</v>
      </c>
      <c r="G112" s="61">
        <f t="shared" si="31"/>
        <v>51</v>
      </c>
      <c r="H112" s="61">
        <f t="shared" si="32"/>
        <v>91</v>
      </c>
      <c r="I112" s="61">
        <f t="shared" si="33"/>
        <v>42</v>
      </c>
      <c r="J112" s="61">
        <f t="shared" si="34"/>
        <v>0</v>
      </c>
      <c r="K112" s="11">
        <f t="shared" si="35"/>
        <v>0.38016528925619836</v>
      </c>
      <c r="L112" s="11">
        <f t="shared" si="36"/>
        <v>9.2353346976300127E-2</v>
      </c>
      <c r="M112" s="11">
        <f t="shared" si="37"/>
        <v>0.48553719008264462</v>
      </c>
      <c r="N112" s="11">
        <f t="shared" si="38"/>
        <v>0.3675859045422607</v>
      </c>
      <c r="O112" s="11">
        <f t="shared" si="39"/>
        <v>0</v>
      </c>
      <c r="P112" s="11">
        <f t="shared" si="40"/>
        <v>0</v>
      </c>
      <c r="Q112" s="20">
        <f t="shared" si="41"/>
        <v>0.45993925151856085</v>
      </c>
      <c r="R112" s="20">
        <f t="shared" si="42"/>
        <v>1</v>
      </c>
      <c r="S112" s="5">
        <f t="shared" si="29"/>
        <v>280.92263545083023</v>
      </c>
      <c r="T112" s="5">
        <f>S112*'Gas Calculations'!LSLT</f>
        <v>252.8303719057472</v>
      </c>
      <c r="U112" s="5">
        <f>U108</f>
        <v>275.8653080612836</v>
      </c>
      <c r="V112" s="5">
        <f>V108</f>
        <v>248.27877725515526</v>
      </c>
      <c r="W112" s="62">
        <f t="shared" si="43"/>
        <v>0.86570247933884303</v>
      </c>
    </row>
    <row r="113" spans="2:23" x14ac:dyDescent="0.35">
      <c r="B113">
        <v>92</v>
      </c>
      <c r="C113" s="16" t="str">
        <f t="shared" si="28"/>
        <v>Fri</v>
      </c>
      <c r="D113" s="12">
        <v>44743</v>
      </c>
      <c r="E113">
        <f t="shared" si="44"/>
        <v>91</v>
      </c>
      <c r="F113" s="61">
        <f t="shared" si="30"/>
        <v>242</v>
      </c>
      <c r="G113" s="61">
        <f t="shared" si="31"/>
        <v>51</v>
      </c>
      <c r="H113" s="61">
        <f t="shared" si="32"/>
        <v>92</v>
      </c>
      <c r="I113" s="61">
        <f t="shared" si="33"/>
        <v>43</v>
      </c>
      <c r="J113" s="61">
        <f t="shared" si="34"/>
        <v>0</v>
      </c>
      <c r="K113" s="11">
        <f t="shared" si="35"/>
        <v>0.37603305785123969</v>
      </c>
      <c r="L113" s="11">
        <f t="shared" si="36"/>
        <v>9.1349506248296866E-2</v>
      </c>
      <c r="M113" s="11">
        <f t="shared" si="37"/>
        <v>0.48966942148760328</v>
      </c>
      <c r="N113" s="11">
        <f t="shared" si="38"/>
        <v>0.37071429521921612</v>
      </c>
      <c r="O113" s="11">
        <f t="shared" si="39"/>
        <v>0</v>
      </c>
      <c r="P113" s="11">
        <f t="shared" si="40"/>
        <v>0</v>
      </c>
      <c r="Q113" s="20">
        <f t="shared" si="41"/>
        <v>0.46206380146751297</v>
      </c>
      <c r="R113" s="20">
        <f t="shared" si="42"/>
        <v>1</v>
      </c>
      <c r="S113" s="5">
        <f t="shared" si="29"/>
        <v>281.52788765126803</v>
      </c>
      <c r="T113" s="5">
        <f>S113*'Gas Calculations'!LSLT</f>
        <v>253.37509888614125</v>
      </c>
      <c r="U113" s="5">
        <f>U108</f>
        <v>275.8653080612836</v>
      </c>
      <c r="V113" s="5">
        <f>V108</f>
        <v>248.27877725515526</v>
      </c>
      <c r="W113" s="62">
        <f t="shared" si="43"/>
        <v>0.86570247933884303</v>
      </c>
    </row>
    <row r="114" spans="2:23" x14ac:dyDescent="0.35">
      <c r="B114">
        <v>93</v>
      </c>
      <c r="C114" s="16" t="str">
        <f t="shared" si="28"/>
        <v>Sat</v>
      </c>
      <c r="D114" s="12">
        <v>44744</v>
      </c>
      <c r="E114">
        <f t="shared" si="44"/>
        <v>90</v>
      </c>
      <c r="F114" s="61">
        <f t="shared" si="30"/>
        <v>242</v>
      </c>
      <c r="G114" s="61">
        <f t="shared" si="31"/>
        <v>51</v>
      </c>
      <c r="H114" s="61">
        <f t="shared" si="32"/>
        <v>93</v>
      </c>
      <c r="I114" s="61">
        <f t="shared" si="33"/>
        <v>44</v>
      </c>
      <c r="J114" s="61">
        <f t="shared" si="34"/>
        <v>0</v>
      </c>
      <c r="K114" s="11">
        <f t="shared" si="35"/>
        <v>0.37190082644628097</v>
      </c>
      <c r="L114" s="11">
        <f t="shared" si="36"/>
        <v>9.0345665520293592E-2</v>
      </c>
      <c r="M114" s="11">
        <f t="shared" si="37"/>
        <v>0.493801652892562</v>
      </c>
      <c r="N114" s="11">
        <f t="shared" si="38"/>
        <v>0.37384268589617153</v>
      </c>
      <c r="O114" s="11">
        <f t="shared" si="39"/>
        <v>0</v>
      </c>
      <c r="P114" s="11">
        <f t="shared" si="40"/>
        <v>0</v>
      </c>
      <c r="Q114" s="20">
        <f t="shared" si="41"/>
        <v>0.46418835141646514</v>
      </c>
      <c r="R114" s="20">
        <f t="shared" si="42"/>
        <v>0.99999999999999989</v>
      </c>
      <c r="S114" s="5">
        <f t="shared" si="29"/>
        <v>282.12759947772776</v>
      </c>
      <c r="T114" s="5">
        <f>S114*'Gas Calculations'!LSLT</f>
        <v>253.91483952995497</v>
      </c>
      <c r="U114" s="5">
        <f>U108</f>
        <v>275.8653080612836</v>
      </c>
      <c r="V114" s="5">
        <f>V108</f>
        <v>248.27877725515526</v>
      </c>
      <c r="W114" s="62">
        <f t="shared" si="43"/>
        <v>0.86570247933884303</v>
      </c>
    </row>
    <row r="115" spans="2:23" x14ac:dyDescent="0.35">
      <c r="B115">
        <v>94</v>
      </c>
      <c r="C115" s="16" t="str">
        <f t="shared" si="28"/>
        <v>Sun</v>
      </c>
      <c r="D115" s="12">
        <v>44745</v>
      </c>
      <c r="E115">
        <f t="shared" si="44"/>
        <v>89</v>
      </c>
      <c r="F115" s="61">
        <f t="shared" si="30"/>
        <v>242</v>
      </c>
      <c r="G115" s="61">
        <f t="shared" si="31"/>
        <v>51</v>
      </c>
      <c r="H115" s="61">
        <f t="shared" si="32"/>
        <v>94</v>
      </c>
      <c r="I115" s="61">
        <f t="shared" si="33"/>
        <v>45</v>
      </c>
      <c r="J115" s="61">
        <f t="shared" si="34"/>
        <v>0</v>
      </c>
      <c r="K115" s="11">
        <f t="shared" si="35"/>
        <v>0.36776859504132231</v>
      </c>
      <c r="L115" s="11">
        <f t="shared" si="36"/>
        <v>8.9341824792290331E-2</v>
      </c>
      <c r="M115" s="11">
        <f t="shared" si="37"/>
        <v>0.49793388429752067</v>
      </c>
      <c r="N115" s="11">
        <f t="shared" si="38"/>
        <v>0.37697107657312695</v>
      </c>
      <c r="O115" s="11">
        <f t="shared" si="39"/>
        <v>0</v>
      </c>
      <c r="P115" s="11">
        <f t="shared" si="40"/>
        <v>0</v>
      </c>
      <c r="Q115" s="20">
        <f t="shared" si="41"/>
        <v>0.46631290136541725</v>
      </c>
      <c r="R115" s="20">
        <f t="shared" si="42"/>
        <v>1</v>
      </c>
      <c r="S115" s="5">
        <f t="shared" si="29"/>
        <v>282.72184665705225</v>
      </c>
      <c r="T115" s="5">
        <f>S115*'Gas Calculations'!LSLT</f>
        <v>254.44966199134703</v>
      </c>
      <c r="U115" s="5">
        <f>AVERAGE(S109:S113)</f>
        <v>280.30606937198434</v>
      </c>
      <c r="V115" s="5">
        <f>AVERAGE(T109:T113)</f>
        <v>252.27546243478591</v>
      </c>
      <c r="W115" s="62">
        <f t="shared" si="43"/>
        <v>0.86570247933884303</v>
      </c>
    </row>
    <row r="116" spans="2:23" x14ac:dyDescent="0.35">
      <c r="B116">
        <v>95</v>
      </c>
      <c r="C116" s="16" t="str">
        <f t="shared" si="28"/>
        <v>Mon</v>
      </c>
      <c r="D116" s="12">
        <v>44746</v>
      </c>
      <c r="E116">
        <f t="shared" si="44"/>
        <v>88</v>
      </c>
      <c r="F116" s="61">
        <f t="shared" si="30"/>
        <v>242</v>
      </c>
      <c r="G116" s="61">
        <f t="shared" si="31"/>
        <v>51</v>
      </c>
      <c r="H116" s="61">
        <f t="shared" si="32"/>
        <v>95</v>
      </c>
      <c r="I116" s="61">
        <f t="shared" si="33"/>
        <v>46</v>
      </c>
      <c r="J116" s="61">
        <f t="shared" si="34"/>
        <v>0</v>
      </c>
      <c r="K116" s="11">
        <f t="shared" si="35"/>
        <v>0.36363636363636365</v>
      </c>
      <c r="L116" s="11">
        <f t="shared" si="36"/>
        <v>8.8337984064287084E-2</v>
      </c>
      <c r="M116" s="11">
        <f t="shared" si="37"/>
        <v>0.50206611570247939</v>
      </c>
      <c r="N116" s="11">
        <f t="shared" si="38"/>
        <v>0.38009946725008237</v>
      </c>
      <c r="O116" s="11">
        <f t="shared" si="39"/>
        <v>0</v>
      </c>
      <c r="P116" s="11">
        <f t="shared" si="40"/>
        <v>0</v>
      </c>
      <c r="Q116" s="20">
        <f t="shared" si="41"/>
        <v>0.46843745131436942</v>
      </c>
      <c r="R116" s="20">
        <f t="shared" si="42"/>
        <v>1</v>
      </c>
      <c r="S116" s="5">
        <f t="shared" si="29"/>
        <v>283.31070354227899</v>
      </c>
      <c r="T116" s="5">
        <f>S116*'Gas Calculations'!LSLT</f>
        <v>254.97963318805108</v>
      </c>
      <c r="U116" s="5">
        <f>U115</f>
        <v>280.30606937198434</v>
      </c>
      <c r="V116" s="5">
        <f>V115</f>
        <v>252.27546243478591</v>
      </c>
      <c r="W116" s="62">
        <f t="shared" si="43"/>
        <v>0.86570247933884303</v>
      </c>
    </row>
    <row r="117" spans="2:23" x14ac:dyDescent="0.35">
      <c r="B117">
        <v>96</v>
      </c>
      <c r="C117" s="16" t="str">
        <f t="shared" si="28"/>
        <v>Tue</v>
      </c>
      <c r="D117" s="12">
        <v>44747</v>
      </c>
      <c r="E117">
        <f t="shared" si="44"/>
        <v>87</v>
      </c>
      <c r="F117" s="61">
        <f t="shared" si="30"/>
        <v>242</v>
      </c>
      <c r="G117" s="61">
        <f t="shared" si="31"/>
        <v>51</v>
      </c>
      <c r="H117" s="61">
        <f t="shared" si="32"/>
        <v>96</v>
      </c>
      <c r="I117" s="61">
        <f t="shared" si="33"/>
        <v>47</v>
      </c>
      <c r="J117" s="61">
        <f t="shared" si="34"/>
        <v>0</v>
      </c>
      <c r="K117" s="11">
        <f t="shared" si="35"/>
        <v>0.35950413223140498</v>
      </c>
      <c r="L117" s="11">
        <f t="shared" si="36"/>
        <v>8.7334143336283823E-2</v>
      </c>
      <c r="M117" s="11">
        <f t="shared" si="37"/>
        <v>0.50619834710743805</v>
      </c>
      <c r="N117" s="11">
        <f t="shared" si="38"/>
        <v>0.38322785792703778</v>
      </c>
      <c r="O117" s="11">
        <f t="shared" si="39"/>
        <v>0</v>
      </c>
      <c r="P117" s="11">
        <f t="shared" si="40"/>
        <v>0</v>
      </c>
      <c r="Q117" s="20">
        <f t="shared" si="41"/>
        <v>0.47056200126332159</v>
      </c>
      <c r="R117" s="20">
        <f t="shared" si="42"/>
        <v>1</v>
      </c>
      <c r="S117" s="5">
        <f t="shared" si="29"/>
        <v>283.89424314365323</v>
      </c>
      <c r="T117" s="5">
        <f>S117*'Gas Calculations'!LSLT</f>
        <v>255.5048188292879</v>
      </c>
      <c r="U117" s="5">
        <f>U115</f>
        <v>280.30606937198434</v>
      </c>
      <c r="V117" s="5">
        <f>V115</f>
        <v>252.27546243478591</v>
      </c>
      <c r="W117" s="62">
        <f t="shared" si="43"/>
        <v>0.86570247933884303</v>
      </c>
    </row>
    <row r="118" spans="2:23" x14ac:dyDescent="0.35">
      <c r="B118">
        <v>97</v>
      </c>
      <c r="C118" s="16" t="str">
        <f t="shared" si="28"/>
        <v>Wed</v>
      </c>
      <c r="D118" s="12">
        <v>44748</v>
      </c>
      <c r="E118">
        <f t="shared" si="44"/>
        <v>86</v>
      </c>
      <c r="F118" s="61">
        <f t="shared" si="30"/>
        <v>242</v>
      </c>
      <c r="G118" s="61">
        <f t="shared" si="31"/>
        <v>51</v>
      </c>
      <c r="H118" s="61">
        <f t="shared" si="32"/>
        <v>97</v>
      </c>
      <c r="I118" s="61">
        <f t="shared" si="33"/>
        <v>48</v>
      </c>
      <c r="J118" s="61">
        <f t="shared" si="34"/>
        <v>0</v>
      </c>
      <c r="K118" s="11">
        <f t="shared" si="35"/>
        <v>0.35537190082644626</v>
      </c>
      <c r="L118" s="11">
        <f t="shared" si="36"/>
        <v>8.6330302608280549E-2</v>
      </c>
      <c r="M118" s="11">
        <f t="shared" si="37"/>
        <v>0.51033057851239672</v>
      </c>
      <c r="N118" s="11">
        <f t="shared" si="38"/>
        <v>0.38635624860399315</v>
      </c>
      <c r="O118" s="11">
        <f t="shared" si="39"/>
        <v>0</v>
      </c>
      <c r="P118" s="11">
        <f t="shared" si="40"/>
        <v>0</v>
      </c>
      <c r="Q118" s="20">
        <f t="shared" si="41"/>
        <v>0.47268655121227371</v>
      </c>
      <c r="R118" s="20">
        <f t="shared" si="42"/>
        <v>1</v>
      </c>
      <c r="S118" s="5">
        <f t="shared" ref="S118:S149" si="45">((PCc*L118)+(PCn*N118)+(PCn_2*P118))/(L118+N118+P118)</f>
        <v>284.47253715880493</v>
      </c>
      <c r="T118" s="5">
        <f>S118*'Gas Calculations'!LSLT</f>
        <v>256.02528344292443</v>
      </c>
      <c r="U118" s="5">
        <f>U115</f>
        <v>280.30606937198434</v>
      </c>
      <c r="V118" s="5">
        <f>V115</f>
        <v>252.27546243478591</v>
      </c>
      <c r="W118" s="62">
        <f t="shared" si="43"/>
        <v>0.86570247933884303</v>
      </c>
    </row>
    <row r="119" spans="2:23" x14ac:dyDescent="0.35">
      <c r="B119">
        <v>98</v>
      </c>
      <c r="C119" s="16" t="str">
        <f t="shared" si="28"/>
        <v>Thu</v>
      </c>
      <c r="D119" s="12">
        <v>44749</v>
      </c>
      <c r="E119">
        <f t="shared" si="44"/>
        <v>85</v>
      </c>
      <c r="F119" s="61">
        <f t="shared" si="30"/>
        <v>242</v>
      </c>
      <c r="G119" s="61">
        <f t="shared" si="31"/>
        <v>51</v>
      </c>
      <c r="H119" s="61">
        <f t="shared" si="32"/>
        <v>98</v>
      </c>
      <c r="I119" s="61">
        <f t="shared" si="33"/>
        <v>49</v>
      </c>
      <c r="J119" s="61">
        <f t="shared" si="34"/>
        <v>0</v>
      </c>
      <c r="K119" s="11">
        <f t="shared" si="35"/>
        <v>0.3512396694214876</v>
      </c>
      <c r="L119" s="11">
        <f t="shared" si="36"/>
        <v>8.5326461880277288E-2</v>
      </c>
      <c r="M119" s="11">
        <f t="shared" si="37"/>
        <v>0.51446280991735538</v>
      </c>
      <c r="N119" s="11">
        <f t="shared" si="38"/>
        <v>0.38948463928094856</v>
      </c>
      <c r="O119" s="11">
        <f t="shared" si="39"/>
        <v>0</v>
      </c>
      <c r="P119" s="11">
        <f t="shared" si="40"/>
        <v>0</v>
      </c>
      <c r="Q119" s="20">
        <f t="shared" si="41"/>
        <v>0.47481110116122582</v>
      </c>
      <c r="R119" s="20">
        <f t="shared" si="42"/>
        <v>1</v>
      </c>
      <c r="S119" s="5">
        <f t="shared" si="45"/>
        <v>285.04565600211515</v>
      </c>
      <c r="T119" s="5">
        <f>S119*'Gas Calculations'!LSLT</f>
        <v>256.54109040190366</v>
      </c>
      <c r="U119" s="5">
        <f>U115</f>
        <v>280.30606937198434</v>
      </c>
      <c r="V119" s="5">
        <f>V115</f>
        <v>252.27546243478591</v>
      </c>
      <c r="W119" s="62">
        <f t="shared" si="43"/>
        <v>0.86570247933884303</v>
      </c>
    </row>
    <row r="120" spans="2:23" x14ac:dyDescent="0.35">
      <c r="B120">
        <v>99</v>
      </c>
      <c r="C120" s="16" t="str">
        <f t="shared" si="28"/>
        <v>Fri</v>
      </c>
      <c r="D120" s="12">
        <v>44750</v>
      </c>
      <c r="E120">
        <f t="shared" si="44"/>
        <v>84</v>
      </c>
      <c r="F120" s="61">
        <f t="shared" si="30"/>
        <v>242</v>
      </c>
      <c r="G120" s="61">
        <f t="shared" si="31"/>
        <v>51</v>
      </c>
      <c r="H120" s="61">
        <f t="shared" si="32"/>
        <v>99</v>
      </c>
      <c r="I120" s="61">
        <f t="shared" si="33"/>
        <v>50</v>
      </c>
      <c r="J120" s="61">
        <f t="shared" si="34"/>
        <v>0</v>
      </c>
      <c r="K120" s="11">
        <f t="shared" si="35"/>
        <v>0.34710743801652894</v>
      </c>
      <c r="L120" s="11">
        <f t="shared" si="36"/>
        <v>8.4322621152274027E-2</v>
      </c>
      <c r="M120" s="11">
        <f t="shared" si="37"/>
        <v>0.51859504132231404</v>
      </c>
      <c r="N120" s="11">
        <f t="shared" si="38"/>
        <v>0.39261302995790398</v>
      </c>
      <c r="O120" s="11">
        <f t="shared" si="39"/>
        <v>0</v>
      </c>
      <c r="P120" s="11">
        <f t="shared" si="40"/>
        <v>0</v>
      </c>
      <c r="Q120" s="20">
        <f t="shared" si="41"/>
        <v>0.47693565111017799</v>
      </c>
      <c r="R120" s="20">
        <f t="shared" si="42"/>
        <v>1</v>
      </c>
      <c r="S120" s="5">
        <f t="shared" si="45"/>
        <v>285.61366883329794</v>
      </c>
      <c r="T120" s="5">
        <f>S120*'Gas Calculations'!LSLT</f>
        <v>257.05230194996813</v>
      </c>
      <c r="U120" s="5">
        <f>U115</f>
        <v>280.30606937198434</v>
      </c>
      <c r="V120" s="5">
        <f>V115</f>
        <v>252.27546243478591</v>
      </c>
      <c r="W120" s="62">
        <f t="shared" si="43"/>
        <v>0.86570247933884303</v>
      </c>
    </row>
    <row r="121" spans="2:23" x14ac:dyDescent="0.35">
      <c r="B121">
        <v>100</v>
      </c>
      <c r="C121" s="16" t="str">
        <f t="shared" si="28"/>
        <v>Sat</v>
      </c>
      <c r="D121" s="12">
        <v>44751</v>
      </c>
      <c r="E121">
        <f t="shared" si="44"/>
        <v>83</v>
      </c>
      <c r="F121" s="61">
        <f t="shared" si="30"/>
        <v>242</v>
      </c>
      <c r="G121" s="61">
        <f t="shared" si="31"/>
        <v>51</v>
      </c>
      <c r="H121" s="61">
        <f t="shared" si="32"/>
        <v>100</v>
      </c>
      <c r="I121" s="61">
        <f t="shared" si="33"/>
        <v>51</v>
      </c>
      <c r="J121" s="61">
        <f t="shared" si="34"/>
        <v>0</v>
      </c>
      <c r="K121" s="11">
        <f t="shared" si="35"/>
        <v>0.34297520661157027</v>
      </c>
      <c r="L121" s="11">
        <f t="shared" si="36"/>
        <v>8.3318780424270766E-2</v>
      </c>
      <c r="M121" s="11">
        <f t="shared" si="37"/>
        <v>0.52272727272727271</v>
      </c>
      <c r="N121" s="11">
        <f t="shared" si="38"/>
        <v>0.3957414206348594</v>
      </c>
      <c r="O121" s="11">
        <f t="shared" si="39"/>
        <v>0</v>
      </c>
      <c r="P121" s="11">
        <f t="shared" si="40"/>
        <v>0</v>
      </c>
      <c r="Q121" s="20">
        <f t="shared" si="41"/>
        <v>0.47906020105913016</v>
      </c>
      <c r="R121" s="20">
        <f t="shared" si="42"/>
        <v>1</v>
      </c>
      <c r="S121" s="5">
        <f t="shared" si="45"/>
        <v>286.17664358522126</v>
      </c>
      <c r="T121" s="5">
        <f>S121*'Gas Calculations'!LSLT</f>
        <v>257.55897922669914</v>
      </c>
      <c r="U121" s="5">
        <f>U115</f>
        <v>280.30606937198434</v>
      </c>
      <c r="V121" s="5">
        <f>V115</f>
        <v>252.27546243478591</v>
      </c>
      <c r="W121" s="62">
        <f t="shared" si="43"/>
        <v>0.86570247933884303</v>
      </c>
    </row>
    <row r="122" spans="2:23" x14ac:dyDescent="0.35">
      <c r="B122">
        <v>101</v>
      </c>
      <c r="C122" s="16" t="str">
        <f t="shared" si="28"/>
        <v>Sun</v>
      </c>
      <c r="D122" s="12">
        <v>44752</v>
      </c>
      <c r="E122">
        <f t="shared" si="44"/>
        <v>82</v>
      </c>
      <c r="F122" s="61">
        <f t="shared" si="30"/>
        <v>242</v>
      </c>
      <c r="G122" s="61">
        <f t="shared" si="31"/>
        <v>51</v>
      </c>
      <c r="H122" s="61">
        <f t="shared" si="32"/>
        <v>101</v>
      </c>
      <c r="I122" s="61">
        <f t="shared" si="33"/>
        <v>52</v>
      </c>
      <c r="J122" s="61">
        <f t="shared" si="34"/>
        <v>0</v>
      </c>
      <c r="K122" s="11">
        <f t="shared" si="35"/>
        <v>0.33884297520661155</v>
      </c>
      <c r="L122" s="11">
        <f t="shared" si="36"/>
        <v>8.2314939696267492E-2</v>
      </c>
      <c r="M122" s="11">
        <f t="shared" si="37"/>
        <v>0.52685950413223137</v>
      </c>
      <c r="N122" s="11">
        <f t="shared" si="38"/>
        <v>0.39886981131181476</v>
      </c>
      <c r="O122" s="11">
        <f t="shared" si="39"/>
        <v>0</v>
      </c>
      <c r="P122" s="11">
        <f t="shared" si="40"/>
        <v>0</v>
      </c>
      <c r="Q122" s="20">
        <f t="shared" si="41"/>
        <v>0.48118475100808222</v>
      </c>
      <c r="R122" s="20">
        <f t="shared" si="42"/>
        <v>1</v>
      </c>
      <c r="S122" s="5">
        <f t="shared" si="45"/>
        <v>286.73464699099134</v>
      </c>
      <c r="T122" s="5">
        <f>S122*'Gas Calculations'!LSLT</f>
        <v>258.06118229189224</v>
      </c>
      <c r="U122" s="5">
        <f>AVERAGE(S116:S120)</f>
        <v>284.46736173603006</v>
      </c>
      <c r="V122" s="5">
        <f>AVERAGE(T116:T120)</f>
        <v>256.02062556242703</v>
      </c>
      <c r="W122" s="62">
        <f t="shared" si="43"/>
        <v>0.86570247933884292</v>
      </c>
    </row>
    <row r="123" spans="2:23" x14ac:dyDescent="0.35">
      <c r="B123">
        <v>102</v>
      </c>
      <c r="C123" s="16" t="str">
        <f t="shared" si="28"/>
        <v>Mon</v>
      </c>
      <c r="D123" s="12">
        <v>44753</v>
      </c>
      <c r="E123">
        <f t="shared" si="44"/>
        <v>81</v>
      </c>
      <c r="F123" s="61">
        <f t="shared" si="30"/>
        <v>242</v>
      </c>
      <c r="G123" s="61">
        <f t="shared" si="31"/>
        <v>51</v>
      </c>
      <c r="H123" s="61">
        <f t="shared" si="32"/>
        <v>102</v>
      </c>
      <c r="I123" s="61">
        <f t="shared" si="33"/>
        <v>53</v>
      </c>
      <c r="J123" s="61">
        <f t="shared" si="34"/>
        <v>0</v>
      </c>
      <c r="K123" s="11">
        <f t="shared" si="35"/>
        <v>0.33471074380165289</v>
      </c>
      <c r="L123" s="11">
        <f t="shared" si="36"/>
        <v>8.1311098968264245E-2</v>
      </c>
      <c r="M123" s="11">
        <f t="shared" si="37"/>
        <v>0.53099173553719003</v>
      </c>
      <c r="N123" s="11">
        <f t="shared" si="38"/>
        <v>0.40199820198877018</v>
      </c>
      <c r="O123" s="11">
        <f t="shared" si="39"/>
        <v>0</v>
      </c>
      <c r="P123" s="11">
        <f t="shared" si="40"/>
        <v>0</v>
      </c>
      <c r="Q123" s="20">
        <f t="shared" si="41"/>
        <v>0.48330930095703439</v>
      </c>
      <c r="R123" s="20">
        <f t="shared" si="42"/>
        <v>1</v>
      </c>
      <c r="S123" s="5">
        <f t="shared" si="45"/>
        <v>287.28774461032242</v>
      </c>
      <c r="T123" s="5">
        <f>S123*'Gas Calculations'!LSLT</f>
        <v>258.55897014929019</v>
      </c>
      <c r="U123" s="5">
        <f>U122</f>
        <v>284.46736173603006</v>
      </c>
      <c r="V123" s="5">
        <f>V122</f>
        <v>256.02062556242703</v>
      </c>
      <c r="W123" s="62">
        <f t="shared" si="43"/>
        <v>0.86570247933884292</v>
      </c>
    </row>
    <row r="124" spans="2:23" x14ac:dyDescent="0.35">
      <c r="B124">
        <v>103</v>
      </c>
      <c r="C124" s="16" t="str">
        <f t="shared" si="28"/>
        <v>Tue</v>
      </c>
      <c r="D124" s="12">
        <v>44754</v>
      </c>
      <c r="E124">
        <f t="shared" si="44"/>
        <v>80</v>
      </c>
      <c r="F124" s="61">
        <f t="shared" si="30"/>
        <v>242</v>
      </c>
      <c r="G124" s="61">
        <f t="shared" si="31"/>
        <v>51</v>
      </c>
      <c r="H124" s="61">
        <f t="shared" si="32"/>
        <v>103</v>
      </c>
      <c r="I124" s="61">
        <f t="shared" si="33"/>
        <v>54</v>
      </c>
      <c r="J124" s="61">
        <f t="shared" si="34"/>
        <v>0</v>
      </c>
      <c r="K124" s="11">
        <f t="shared" si="35"/>
        <v>0.33057851239669422</v>
      </c>
      <c r="L124" s="11">
        <f t="shared" si="36"/>
        <v>8.0307258240260984E-2</v>
      </c>
      <c r="M124" s="11">
        <f t="shared" si="37"/>
        <v>0.53512396694214881</v>
      </c>
      <c r="N124" s="11">
        <f t="shared" si="38"/>
        <v>0.40512659266572565</v>
      </c>
      <c r="O124" s="11">
        <f t="shared" si="39"/>
        <v>0</v>
      </c>
      <c r="P124" s="11">
        <f t="shared" si="40"/>
        <v>0</v>
      </c>
      <c r="Q124" s="20">
        <f t="shared" si="41"/>
        <v>0.48543385090598662</v>
      </c>
      <c r="R124" s="20">
        <f t="shared" si="42"/>
        <v>1</v>
      </c>
      <c r="S124" s="5">
        <f t="shared" si="45"/>
        <v>287.83600085521397</v>
      </c>
      <c r="T124" s="5">
        <f>S124*'Gas Calculations'!LSLT</f>
        <v>259.05240076969255</v>
      </c>
      <c r="U124" s="5">
        <f>U122</f>
        <v>284.46736173603006</v>
      </c>
      <c r="V124" s="5">
        <f>V122</f>
        <v>256.02062556242703</v>
      </c>
      <c r="W124" s="62">
        <f t="shared" si="43"/>
        <v>0.86570247933884303</v>
      </c>
    </row>
    <row r="125" spans="2:23" x14ac:dyDescent="0.35">
      <c r="B125">
        <v>104</v>
      </c>
      <c r="C125" s="16" t="str">
        <f t="shared" si="28"/>
        <v>Wed</v>
      </c>
      <c r="D125" s="12">
        <v>44755</v>
      </c>
      <c r="E125">
        <f t="shared" si="44"/>
        <v>79</v>
      </c>
      <c r="F125" s="61">
        <f t="shared" si="30"/>
        <v>242</v>
      </c>
      <c r="G125" s="61">
        <f t="shared" si="31"/>
        <v>51</v>
      </c>
      <c r="H125" s="61">
        <f t="shared" si="32"/>
        <v>104</v>
      </c>
      <c r="I125" s="61">
        <f t="shared" si="33"/>
        <v>55</v>
      </c>
      <c r="J125" s="61">
        <f t="shared" si="34"/>
        <v>0</v>
      </c>
      <c r="K125" s="11">
        <f t="shared" si="35"/>
        <v>0.32644628099173556</v>
      </c>
      <c r="L125" s="11">
        <f t="shared" si="36"/>
        <v>7.9303417512257723E-2</v>
      </c>
      <c r="M125" s="11">
        <f t="shared" si="37"/>
        <v>0.53925619834710747</v>
      </c>
      <c r="N125" s="11">
        <f t="shared" si="38"/>
        <v>0.40825498334268107</v>
      </c>
      <c r="O125" s="11">
        <f t="shared" si="39"/>
        <v>0</v>
      </c>
      <c r="P125" s="11">
        <f t="shared" si="40"/>
        <v>0</v>
      </c>
      <c r="Q125" s="20">
        <f t="shared" si="41"/>
        <v>0.48755840085493879</v>
      </c>
      <c r="R125" s="20">
        <f t="shared" si="42"/>
        <v>1</v>
      </c>
      <c r="S125" s="5">
        <f t="shared" si="45"/>
        <v>288.37947901495698</v>
      </c>
      <c r="T125" s="5">
        <f>S125*'Gas Calculations'!LSLT</f>
        <v>259.5415311134613</v>
      </c>
      <c r="U125" s="5">
        <f>U122</f>
        <v>284.46736173603006</v>
      </c>
      <c r="V125" s="5">
        <f>V122</f>
        <v>256.02062556242703</v>
      </c>
      <c r="W125" s="62">
        <f t="shared" si="43"/>
        <v>0.86570247933884303</v>
      </c>
    </row>
    <row r="126" spans="2:23" x14ac:dyDescent="0.35">
      <c r="B126">
        <v>105</v>
      </c>
      <c r="C126" s="16" t="str">
        <f t="shared" si="28"/>
        <v>Thu</v>
      </c>
      <c r="D126" s="12">
        <v>44756</v>
      </c>
      <c r="E126">
        <f t="shared" si="44"/>
        <v>78</v>
      </c>
      <c r="F126" s="61">
        <f t="shared" si="30"/>
        <v>242</v>
      </c>
      <c r="G126" s="61">
        <f t="shared" si="31"/>
        <v>51</v>
      </c>
      <c r="H126" s="61">
        <f t="shared" si="32"/>
        <v>105</v>
      </c>
      <c r="I126" s="61">
        <f t="shared" si="33"/>
        <v>56</v>
      </c>
      <c r="J126" s="61">
        <f t="shared" si="34"/>
        <v>0</v>
      </c>
      <c r="K126" s="11">
        <f t="shared" si="35"/>
        <v>0.32231404958677684</v>
      </c>
      <c r="L126" s="11">
        <f t="shared" si="36"/>
        <v>7.8299576784254449E-2</v>
      </c>
      <c r="M126" s="11">
        <f t="shared" si="37"/>
        <v>0.54338842975206614</v>
      </c>
      <c r="N126" s="11">
        <f t="shared" si="38"/>
        <v>0.41138337401963643</v>
      </c>
      <c r="O126" s="11">
        <f t="shared" si="39"/>
        <v>0</v>
      </c>
      <c r="P126" s="11">
        <f t="shared" si="40"/>
        <v>0</v>
      </c>
      <c r="Q126" s="20">
        <f t="shared" si="41"/>
        <v>0.4896829508038909</v>
      </c>
      <c r="R126" s="20">
        <f t="shared" si="42"/>
        <v>0.99999999999999989</v>
      </c>
      <c r="S126" s="5">
        <f t="shared" si="45"/>
        <v>288.91824128048864</v>
      </c>
      <c r="T126" s="5">
        <f>S126*'Gas Calculations'!LSLT</f>
        <v>260.02641715243976</v>
      </c>
      <c r="U126" s="5">
        <f>U122</f>
        <v>284.46736173603006</v>
      </c>
      <c r="V126" s="5">
        <f>V122</f>
        <v>256.02062556242703</v>
      </c>
      <c r="W126" s="62">
        <f t="shared" si="43"/>
        <v>0.86570247933884303</v>
      </c>
    </row>
    <row r="127" spans="2:23" x14ac:dyDescent="0.35">
      <c r="B127">
        <v>106</v>
      </c>
      <c r="C127" s="16" t="str">
        <f t="shared" si="28"/>
        <v>Fri</v>
      </c>
      <c r="D127" s="12">
        <v>44757</v>
      </c>
      <c r="E127">
        <f t="shared" si="44"/>
        <v>77</v>
      </c>
      <c r="F127" s="61">
        <f t="shared" si="30"/>
        <v>242</v>
      </c>
      <c r="G127" s="61">
        <f t="shared" si="31"/>
        <v>51</v>
      </c>
      <c r="H127" s="61">
        <f t="shared" si="32"/>
        <v>106</v>
      </c>
      <c r="I127" s="61">
        <f t="shared" si="33"/>
        <v>57</v>
      </c>
      <c r="J127" s="61">
        <f t="shared" si="34"/>
        <v>0</v>
      </c>
      <c r="K127" s="11">
        <f t="shared" si="35"/>
        <v>0.31818181818181818</v>
      </c>
      <c r="L127" s="11">
        <f t="shared" si="36"/>
        <v>7.7295736056251188E-2</v>
      </c>
      <c r="M127" s="11">
        <f t="shared" si="37"/>
        <v>0.5475206611570248</v>
      </c>
      <c r="N127" s="11">
        <f t="shared" si="38"/>
        <v>0.41451176469659184</v>
      </c>
      <c r="O127" s="11">
        <f t="shared" si="39"/>
        <v>0</v>
      </c>
      <c r="P127" s="11">
        <f t="shared" si="40"/>
        <v>0</v>
      </c>
      <c r="Q127" s="20">
        <f t="shared" si="41"/>
        <v>0.49180750075284302</v>
      </c>
      <c r="R127" s="20">
        <f t="shared" si="42"/>
        <v>1</v>
      </c>
      <c r="S127" s="5">
        <f t="shared" si="45"/>
        <v>289.45234876811645</v>
      </c>
      <c r="T127" s="5">
        <f>S127*'Gas Calculations'!LSLT</f>
        <v>260.50711389130481</v>
      </c>
      <c r="U127" s="5">
        <f>U122</f>
        <v>284.46736173603006</v>
      </c>
      <c r="V127" s="5">
        <f>V122</f>
        <v>256.02062556242703</v>
      </c>
      <c r="W127" s="62">
        <f t="shared" si="43"/>
        <v>0.86570247933884303</v>
      </c>
    </row>
    <row r="128" spans="2:23" x14ac:dyDescent="0.35">
      <c r="B128">
        <v>107</v>
      </c>
      <c r="C128" s="16" t="str">
        <f t="shared" si="28"/>
        <v>Sat</v>
      </c>
      <c r="D128" s="12">
        <v>44758</v>
      </c>
      <c r="E128">
        <f t="shared" si="44"/>
        <v>76</v>
      </c>
      <c r="F128" s="61">
        <f t="shared" si="30"/>
        <v>242</v>
      </c>
      <c r="G128" s="61">
        <f t="shared" si="31"/>
        <v>51</v>
      </c>
      <c r="H128" s="61">
        <f t="shared" si="32"/>
        <v>107</v>
      </c>
      <c r="I128" s="61">
        <f t="shared" si="33"/>
        <v>58</v>
      </c>
      <c r="J128" s="61">
        <f t="shared" si="34"/>
        <v>0</v>
      </c>
      <c r="K128" s="11">
        <f t="shared" si="35"/>
        <v>0.31404958677685951</v>
      </c>
      <c r="L128" s="11">
        <f t="shared" si="36"/>
        <v>7.6291895328247927E-2</v>
      </c>
      <c r="M128" s="11">
        <f t="shared" si="37"/>
        <v>0.55165289256198347</v>
      </c>
      <c r="N128" s="11">
        <f t="shared" si="38"/>
        <v>0.41764015537354726</v>
      </c>
      <c r="O128" s="11">
        <f t="shared" si="39"/>
        <v>0</v>
      </c>
      <c r="P128" s="11">
        <f t="shared" si="40"/>
        <v>0</v>
      </c>
      <c r="Q128" s="20">
        <f t="shared" si="41"/>
        <v>0.49393205070179519</v>
      </c>
      <c r="R128" s="20">
        <f t="shared" si="42"/>
        <v>1</v>
      </c>
      <c r="S128" s="5">
        <f t="shared" si="45"/>
        <v>289.98186154262953</v>
      </c>
      <c r="T128" s="5">
        <f>S128*'Gas Calculations'!LSLT</f>
        <v>260.98367538836658</v>
      </c>
      <c r="U128" s="5">
        <f>U122</f>
        <v>284.46736173603006</v>
      </c>
      <c r="V128" s="5">
        <f>V122</f>
        <v>256.02062556242703</v>
      </c>
      <c r="W128" s="62">
        <f t="shared" si="43"/>
        <v>0.86570247933884303</v>
      </c>
    </row>
    <row r="129" spans="2:23" x14ac:dyDescent="0.35">
      <c r="B129">
        <v>108</v>
      </c>
      <c r="C129" s="16" t="str">
        <f t="shared" si="28"/>
        <v>Sun</v>
      </c>
      <c r="D129" s="12">
        <v>44759</v>
      </c>
      <c r="E129">
        <f t="shared" si="44"/>
        <v>75</v>
      </c>
      <c r="F129" s="61">
        <f t="shared" si="30"/>
        <v>242</v>
      </c>
      <c r="G129" s="61">
        <f t="shared" si="31"/>
        <v>51</v>
      </c>
      <c r="H129" s="61">
        <f t="shared" si="32"/>
        <v>108</v>
      </c>
      <c r="I129" s="61">
        <f t="shared" si="33"/>
        <v>59</v>
      </c>
      <c r="J129" s="61">
        <f t="shared" si="34"/>
        <v>0</v>
      </c>
      <c r="K129" s="11">
        <f t="shared" si="35"/>
        <v>0.30991735537190085</v>
      </c>
      <c r="L129" s="11">
        <f t="shared" si="36"/>
        <v>7.5288054600244667E-2</v>
      </c>
      <c r="M129" s="11">
        <f t="shared" si="37"/>
        <v>0.55578512396694213</v>
      </c>
      <c r="N129" s="11">
        <f t="shared" si="38"/>
        <v>0.42076854605050268</v>
      </c>
      <c r="O129" s="11">
        <f t="shared" si="39"/>
        <v>0</v>
      </c>
      <c r="P129" s="11">
        <f t="shared" si="40"/>
        <v>0</v>
      </c>
      <c r="Q129" s="20">
        <f t="shared" si="41"/>
        <v>0.49605660065074736</v>
      </c>
      <c r="R129" s="20">
        <f t="shared" si="42"/>
        <v>1</v>
      </c>
      <c r="S129" s="5">
        <f t="shared" si="45"/>
        <v>290.50683863981629</v>
      </c>
      <c r="T129" s="5">
        <f>S129*'Gas Calculations'!LSLT</f>
        <v>261.45615477583465</v>
      </c>
      <c r="U129" s="5">
        <f>AVERAGE(S123:S127)</f>
        <v>288.37476290581969</v>
      </c>
      <c r="V129" s="5">
        <f>AVERAGE(T123:T127)</f>
        <v>259.53728661523775</v>
      </c>
      <c r="W129" s="62">
        <f t="shared" si="43"/>
        <v>0.86570247933884303</v>
      </c>
    </row>
    <row r="130" spans="2:23" x14ac:dyDescent="0.35">
      <c r="B130">
        <v>109</v>
      </c>
      <c r="C130" s="16" t="str">
        <f t="shared" si="28"/>
        <v>Mon</v>
      </c>
      <c r="D130" s="12">
        <v>44760</v>
      </c>
      <c r="E130">
        <f t="shared" si="44"/>
        <v>74</v>
      </c>
      <c r="F130" s="61">
        <f t="shared" si="30"/>
        <v>242</v>
      </c>
      <c r="G130" s="61">
        <f t="shared" si="31"/>
        <v>51</v>
      </c>
      <c r="H130" s="61">
        <f t="shared" si="32"/>
        <v>109</v>
      </c>
      <c r="I130" s="61">
        <f t="shared" si="33"/>
        <v>60</v>
      </c>
      <c r="J130" s="61">
        <f t="shared" si="34"/>
        <v>0</v>
      </c>
      <c r="K130" s="11">
        <f t="shared" si="35"/>
        <v>0.30578512396694213</v>
      </c>
      <c r="L130" s="11">
        <f t="shared" si="36"/>
        <v>7.4284213872241406E-2</v>
      </c>
      <c r="M130" s="11">
        <f t="shared" si="37"/>
        <v>0.55991735537190079</v>
      </c>
      <c r="N130" s="11">
        <f t="shared" si="38"/>
        <v>0.42389693672745804</v>
      </c>
      <c r="O130" s="11">
        <f t="shared" si="39"/>
        <v>0</v>
      </c>
      <c r="P130" s="11">
        <f t="shared" si="40"/>
        <v>0</v>
      </c>
      <c r="Q130" s="20">
        <f t="shared" si="41"/>
        <v>0.49818115059969947</v>
      </c>
      <c r="R130" s="20">
        <f t="shared" si="42"/>
        <v>0.99999999999999989</v>
      </c>
      <c r="S130" s="5">
        <f t="shared" si="45"/>
        <v>291.027338088406</v>
      </c>
      <c r="T130" s="5">
        <f>S130*'Gas Calculations'!LSLT</f>
        <v>261.92460427956541</v>
      </c>
      <c r="U130" s="5">
        <f>U129</f>
        <v>288.37476290581969</v>
      </c>
      <c r="V130" s="5">
        <f>V129</f>
        <v>259.53728661523775</v>
      </c>
      <c r="W130" s="62">
        <f t="shared" si="43"/>
        <v>0.86570247933884292</v>
      </c>
    </row>
    <row r="131" spans="2:23" x14ac:dyDescent="0.35">
      <c r="B131">
        <v>110</v>
      </c>
      <c r="C131" s="16" t="str">
        <f t="shared" si="28"/>
        <v>Tue</v>
      </c>
      <c r="D131" s="12">
        <v>44761</v>
      </c>
      <c r="E131">
        <f t="shared" si="44"/>
        <v>73</v>
      </c>
      <c r="F131" s="61">
        <f t="shared" si="30"/>
        <v>242</v>
      </c>
      <c r="G131" s="61">
        <f t="shared" si="31"/>
        <v>51</v>
      </c>
      <c r="H131" s="61">
        <f t="shared" si="32"/>
        <v>110</v>
      </c>
      <c r="I131" s="61">
        <f t="shared" si="33"/>
        <v>61</v>
      </c>
      <c r="J131" s="61">
        <f t="shared" si="34"/>
        <v>0</v>
      </c>
      <c r="K131" s="11">
        <f t="shared" si="35"/>
        <v>0.30165289256198347</v>
      </c>
      <c r="L131" s="11">
        <f t="shared" si="36"/>
        <v>7.3280373144238145E-2</v>
      </c>
      <c r="M131" s="11">
        <f t="shared" si="37"/>
        <v>0.56404958677685946</v>
      </c>
      <c r="N131" s="11">
        <f t="shared" si="38"/>
        <v>0.42702532740441346</v>
      </c>
      <c r="O131" s="11">
        <f t="shared" si="39"/>
        <v>0</v>
      </c>
      <c r="P131" s="11">
        <f t="shared" si="40"/>
        <v>0</v>
      </c>
      <c r="Q131" s="20">
        <f t="shared" si="41"/>
        <v>0.50030570054865164</v>
      </c>
      <c r="R131" s="20">
        <f t="shared" si="42"/>
        <v>1</v>
      </c>
      <c r="S131" s="5">
        <f t="shared" si="45"/>
        <v>291.54341693145113</v>
      </c>
      <c r="T131" s="5">
        <f>S131*'Gas Calculations'!LSLT</f>
        <v>262.38907523830602</v>
      </c>
      <c r="U131" s="5">
        <f>U129</f>
        <v>288.37476290581969</v>
      </c>
      <c r="V131" s="5">
        <f>V129</f>
        <v>259.53728661523775</v>
      </c>
      <c r="W131" s="62">
        <f t="shared" si="43"/>
        <v>0.86570247933884292</v>
      </c>
    </row>
    <row r="132" spans="2:23" x14ac:dyDescent="0.35">
      <c r="B132">
        <v>111</v>
      </c>
      <c r="C132" s="16" t="str">
        <f t="shared" si="28"/>
        <v>Wed</v>
      </c>
      <c r="D132" s="12">
        <v>44762</v>
      </c>
      <c r="E132">
        <f t="shared" si="44"/>
        <v>72</v>
      </c>
      <c r="F132" s="61">
        <f t="shared" si="30"/>
        <v>242</v>
      </c>
      <c r="G132" s="61">
        <f t="shared" si="31"/>
        <v>51</v>
      </c>
      <c r="H132" s="61">
        <f t="shared" si="32"/>
        <v>111</v>
      </c>
      <c r="I132" s="61">
        <f t="shared" si="33"/>
        <v>62</v>
      </c>
      <c r="J132" s="61">
        <f t="shared" si="34"/>
        <v>0</v>
      </c>
      <c r="K132" s="11">
        <f t="shared" si="35"/>
        <v>0.2975206611570248</v>
      </c>
      <c r="L132" s="11">
        <f t="shared" si="36"/>
        <v>7.2276532416234884E-2</v>
      </c>
      <c r="M132" s="11">
        <f t="shared" si="37"/>
        <v>0.56818181818181823</v>
      </c>
      <c r="N132" s="11">
        <f t="shared" si="38"/>
        <v>0.43015371808136893</v>
      </c>
      <c r="O132" s="11">
        <f t="shared" si="39"/>
        <v>0</v>
      </c>
      <c r="P132" s="11">
        <f t="shared" si="40"/>
        <v>0</v>
      </c>
      <c r="Q132" s="20">
        <f t="shared" si="41"/>
        <v>0.50243025049760381</v>
      </c>
      <c r="R132" s="20">
        <f t="shared" si="42"/>
        <v>1</v>
      </c>
      <c r="S132" s="5">
        <f t="shared" si="45"/>
        <v>292.05513124716708</v>
      </c>
      <c r="T132" s="5">
        <f>S132*'Gas Calculations'!LSLT</f>
        <v>262.84961812245041</v>
      </c>
      <c r="U132" s="5">
        <f>U129</f>
        <v>288.37476290581969</v>
      </c>
      <c r="V132" s="5">
        <f>V129</f>
        <v>259.53728661523775</v>
      </c>
      <c r="W132" s="62">
        <f t="shared" si="43"/>
        <v>0.86570247933884303</v>
      </c>
    </row>
    <row r="133" spans="2:23" x14ac:dyDescent="0.35">
      <c r="B133">
        <v>112</v>
      </c>
      <c r="C133" s="16" t="str">
        <f t="shared" si="28"/>
        <v>Thu</v>
      </c>
      <c r="D133" s="12">
        <v>44763</v>
      </c>
      <c r="E133">
        <f t="shared" si="44"/>
        <v>71</v>
      </c>
      <c r="F133" s="61">
        <f t="shared" si="30"/>
        <v>242</v>
      </c>
      <c r="G133" s="61">
        <f t="shared" si="31"/>
        <v>51</v>
      </c>
      <c r="H133" s="61">
        <f t="shared" si="32"/>
        <v>112</v>
      </c>
      <c r="I133" s="61">
        <f t="shared" si="33"/>
        <v>63</v>
      </c>
      <c r="J133" s="61">
        <f t="shared" si="34"/>
        <v>0</v>
      </c>
      <c r="K133" s="11">
        <f t="shared" si="35"/>
        <v>0.29338842975206614</v>
      </c>
      <c r="L133" s="11">
        <f t="shared" si="36"/>
        <v>7.1272691688231624E-2</v>
      </c>
      <c r="M133" s="11">
        <f t="shared" si="37"/>
        <v>0.5723140495867769</v>
      </c>
      <c r="N133" s="11">
        <f t="shared" si="38"/>
        <v>0.43328210875832435</v>
      </c>
      <c r="O133" s="11">
        <f t="shared" si="39"/>
        <v>0</v>
      </c>
      <c r="P133" s="11">
        <f t="shared" si="40"/>
        <v>0</v>
      </c>
      <c r="Q133" s="20">
        <f t="shared" si="41"/>
        <v>0.50455480044655598</v>
      </c>
      <c r="R133" s="20">
        <f t="shared" si="42"/>
        <v>0.99999999999999989</v>
      </c>
      <c r="S133" s="5">
        <f t="shared" si="45"/>
        <v>292.56253616924579</v>
      </c>
      <c r="T133" s="5">
        <f>S133*'Gas Calculations'!LSLT</f>
        <v>263.30628255232119</v>
      </c>
      <c r="U133" s="5">
        <f>U129</f>
        <v>288.37476290581969</v>
      </c>
      <c r="V133" s="5">
        <f>V129</f>
        <v>259.53728661523775</v>
      </c>
      <c r="W133" s="62">
        <f t="shared" si="43"/>
        <v>0.86570247933884303</v>
      </c>
    </row>
    <row r="134" spans="2:23" x14ac:dyDescent="0.35">
      <c r="B134">
        <v>113</v>
      </c>
      <c r="C134" s="16" t="str">
        <f t="shared" si="28"/>
        <v>Fri</v>
      </c>
      <c r="D134" s="12">
        <v>44764</v>
      </c>
      <c r="E134">
        <f t="shared" si="44"/>
        <v>70</v>
      </c>
      <c r="F134" s="61">
        <f t="shared" si="30"/>
        <v>242</v>
      </c>
      <c r="G134" s="61">
        <f t="shared" si="31"/>
        <v>51</v>
      </c>
      <c r="H134" s="61">
        <f t="shared" si="32"/>
        <v>113</v>
      </c>
      <c r="I134" s="61">
        <f t="shared" si="33"/>
        <v>64</v>
      </c>
      <c r="J134" s="61">
        <f t="shared" si="34"/>
        <v>0</v>
      </c>
      <c r="K134" s="11">
        <f t="shared" si="35"/>
        <v>0.28925619834710742</v>
      </c>
      <c r="L134" s="11">
        <f t="shared" si="36"/>
        <v>7.0268850960228349E-2</v>
      </c>
      <c r="M134" s="11">
        <f t="shared" si="37"/>
        <v>0.57644628099173556</v>
      </c>
      <c r="N134" s="11">
        <f t="shared" si="38"/>
        <v>0.43641049943527976</v>
      </c>
      <c r="O134" s="11">
        <f t="shared" si="39"/>
        <v>0</v>
      </c>
      <c r="P134" s="11">
        <f t="shared" si="40"/>
        <v>0</v>
      </c>
      <c r="Q134" s="20">
        <f t="shared" si="41"/>
        <v>0.50667935039550815</v>
      </c>
      <c r="R134" s="20">
        <f t="shared" si="42"/>
        <v>1</v>
      </c>
      <c r="S134" s="5">
        <f t="shared" si="45"/>
        <v>293.06568590665808</v>
      </c>
      <c r="T134" s="5">
        <f>S134*'Gas Calculations'!LSLT</f>
        <v>263.75911731599228</v>
      </c>
      <c r="U134" s="5">
        <f>U129</f>
        <v>288.37476290581969</v>
      </c>
      <c r="V134" s="5">
        <f>V129</f>
        <v>259.53728661523775</v>
      </c>
      <c r="W134" s="62">
        <f t="shared" si="43"/>
        <v>0.86570247933884303</v>
      </c>
    </row>
    <row r="135" spans="2:23" x14ac:dyDescent="0.35">
      <c r="B135">
        <v>114</v>
      </c>
      <c r="C135" s="16" t="str">
        <f t="shared" si="28"/>
        <v>Sat</v>
      </c>
      <c r="D135" s="12">
        <v>44765</v>
      </c>
      <c r="E135">
        <f t="shared" si="44"/>
        <v>69</v>
      </c>
      <c r="F135" s="61">
        <f t="shared" si="30"/>
        <v>242</v>
      </c>
      <c r="G135" s="61">
        <f t="shared" si="31"/>
        <v>51</v>
      </c>
      <c r="H135" s="61">
        <f t="shared" si="32"/>
        <v>114</v>
      </c>
      <c r="I135" s="61">
        <f t="shared" si="33"/>
        <v>65</v>
      </c>
      <c r="J135" s="61">
        <f t="shared" si="34"/>
        <v>0</v>
      </c>
      <c r="K135" s="11">
        <f t="shared" si="35"/>
        <v>0.28512396694214875</v>
      </c>
      <c r="L135" s="11">
        <f t="shared" si="36"/>
        <v>6.9265010232225088E-2</v>
      </c>
      <c r="M135" s="11">
        <f t="shared" si="37"/>
        <v>0.58057851239669422</v>
      </c>
      <c r="N135" s="11">
        <f t="shared" si="38"/>
        <v>0.43953889011223513</v>
      </c>
      <c r="O135" s="11">
        <f t="shared" si="39"/>
        <v>0</v>
      </c>
      <c r="P135" s="11">
        <f t="shared" si="40"/>
        <v>0</v>
      </c>
      <c r="Q135" s="20">
        <f t="shared" si="41"/>
        <v>0.50880390034446021</v>
      </c>
      <c r="R135" s="20">
        <f t="shared" si="42"/>
        <v>1</v>
      </c>
      <c r="S135" s="5">
        <f t="shared" si="45"/>
        <v>293.56463376295983</v>
      </c>
      <c r="T135" s="5">
        <f>S135*'Gas Calculations'!LSLT</f>
        <v>264.20817038666388</v>
      </c>
      <c r="U135" s="5">
        <f>U129</f>
        <v>288.37476290581969</v>
      </c>
      <c r="V135" s="5">
        <f>V129</f>
        <v>259.53728661523775</v>
      </c>
      <c r="W135" s="62">
        <f t="shared" si="43"/>
        <v>0.86570247933884303</v>
      </c>
    </row>
    <row r="136" spans="2:23" x14ac:dyDescent="0.35">
      <c r="B136">
        <v>115</v>
      </c>
      <c r="C136" s="16" t="str">
        <f t="shared" si="28"/>
        <v>Sun</v>
      </c>
      <c r="D136" s="12">
        <v>44766</v>
      </c>
      <c r="E136">
        <f t="shared" si="44"/>
        <v>68</v>
      </c>
      <c r="F136" s="61">
        <f t="shared" si="30"/>
        <v>242</v>
      </c>
      <c r="G136" s="61">
        <f t="shared" si="31"/>
        <v>51</v>
      </c>
      <c r="H136" s="61">
        <f t="shared" si="32"/>
        <v>115</v>
      </c>
      <c r="I136" s="61">
        <f t="shared" si="33"/>
        <v>66</v>
      </c>
      <c r="J136" s="61">
        <f t="shared" si="34"/>
        <v>0</v>
      </c>
      <c r="K136" s="11">
        <f t="shared" si="35"/>
        <v>0.28099173553719009</v>
      </c>
      <c r="L136" s="11">
        <f t="shared" si="36"/>
        <v>6.8261169504221827E-2</v>
      </c>
      <c r="M136" s="11">
        <f t="shared" si="37"/>
        <v>0.58471074380165289</v>
      </c>
      <c r="N136" s="11">
        <f t="shared" si="38"/>
        <v>0.44266728078919054</v>
      </c>
      <c r="O136" s="11">
        <f t="shared" si="39"/>
        <v>0</v>
      </c>
      <c r="P136" s="11">
        <f t="shared" si="40"/>
        <v>0</v>
      </c>
      <c r="Q136" s="20">
        <f t="shared" si="41"/>
        <v>0.51092845029341238</v>
      </c>
      <c r="R136" s="20">
        <f t="shared" si="42"/>
        <v>1</v>
      </c>
      <c r="S136" s="5">
        <f t="shared" si="45"/>
        <v>294.05943215511621</v>
      </c>
      <c r="T136" s="5">
        <f>S136*'Gas Calculations'!LSLT</f>
        <v>264.65348893960459</v>
      </c>
      <c r="U136" s="5">
        <f>AVERAGE(S130:S134)</f>
        <v>292.05082166858563</v>
      </c>
      <c r="V136" s="5">
        <f>AVERAGE(T130:T134)</f>
        <v>262.84573950172705</v>
      </c>
      <c r="W136" s="62">
        <f t="shared" si="43"/>
        <v>0.86570247933884303</v>
      </c>
    </row>
    <row r="137" spans="2:23" x14ac:dyDescent="0.35">
      <c r="B137">
        <v>116</v>
      </c>
      <c r="C137" s="16" t="str">
        <f t="shared" si="28"/>
        <v>Mon</v>
      </c>
      <c r="D137" s="12">
        <v>44767</v>
      </c>
      <c r="E137">
        <f t="shared" si="44"/>
        <v>67</v>
      </c>
      <c r="F137" s="61">
        <f t="shared" si="30"/>
        <v>242</v>
      </c>
      <c r="G137" s="61">
        <f t="shared" si="31"/>
        <v>51</v>
      </c>
      <c r="H137" s="61">
        <f t="shared" si="32"/>
        <v>116</v>
      </c>
      <c r="I137" s="61">
        <f t="shared" si="33"/>
        <v>67</v>
      </c>
      <c r="J137" s="61">
        <f t="shared" si="34"/>
        <v>0</v>
      </c>
      <c r="K137" s="11">
        <f t="shared" si="35"/>
        <v>0.27685950413223143</v>
      </c>
      <c r="L137" s="11">
        <f t="shared" si="36"/>
        <v>6.7257328776218581E-2</v>
      </c>
      <c r="M137" s="11">
        <f t="shared" si="37"/>
        <v>0.58884297520661155</v>
      </c>
      <c r="N137" s="11">
        <f t="shared" si="38"/>
        <v>0.44579567146614596</v>
      </c>
      <c r="O137" s="11">
        <f t="shared" si="39"/>
        <v>0</v>
      </c>
      <c r="P137" s="11">
        <f t="shared" si="40"/>
        <v>0</v>
      </c>
      <c r="Q137" s="20">
        <f t="shared" si="41"/>
        <v>0.51305300024236455</v>
      </c>
      <c r="R137" s="20">
        <f t="shared" si="42"/>
        <v>1</v>
      </c>
      <c r="S137" s="5">
        <f t="shared" si="45"/>
        <v>294.55013263185924</v>
      </c>
      <c r="T137" s="5">
        <f>S137*'Gas Calculations'!LSLT</f>
        <v>265.09511936867335</v>
      </c>
      <c r="U137" s="5">
        <f>U136</f>
        <v>292.05082166858563</v>
      </c>
      <c r="V137" s="5">
        <f>V136</f>
        <v>262.84573950172705</v>
      </c>
      <c r="W137" s="62">
        <f t="shared" si="43"/>
        <v>0.86570247933884303</v>
      </c>
    </row>
    <row r="138" spans="2:23" x14ac:dyDescent="0.35">
      <c r="B138">
        <v>117</v>
      </c>
      <c r="C138" s="16" t="str">
        <f t="shared" si="28"/>
        <v>Tue</v>
      </c>
      <c r="D138" s="12">
        <v>44768</v>
      </c>
      <c r="E138">
        <f t="shared" si="44"/>
        <v>66</v>
      </c>
      <c r="F138" s="61">
        <f t="shared" si="30"/>
        <v>242</v>
      </c>
      <c r="G138" s="61">
        <f t="shared" si="31"/>
        <v>51</v>
      </c>
      <c r="H138" s="61">
        <f t="shared" si="32"/>
        <v>117</v>
      </c>
      <c r="I138" s="61">
        <f t="shared" si="33"/>
        <v>68</v>
      </c>
      <c r="J138" s="61">
        <f t="shared" si="34"/>
        <v>0</v>
      </c>
      <c r="K138" s="11">
        <f t="shared" si="35"/>
        <v>0.27272727272727271</v>
      </c>
      <c r="L138" s="11">
        <f t="shared" si="36"/>
        <v>6.6253488048215306E-2</v>
      </c>
      <c r="M138" s="11">
        <f t="shared" si="37"/>
        <v>0.59297520661157022</v>
      </c>
      <c r="N138" s="11">
        <f t="shared" si="38"/>
        <v>0.44892406214310132</v>
      </c>
      <c r="O138" s="11">
        <f t="shared" si="39"/>
        <v>0</v>
      </c>
      <c r="P138" s="11">
        <f t="shared" si="40"/>
        <v>0</v>
      </c>
      <c r="Q138" s="20">
        <f t="shared" si="41"/>
        <v>0.51517755019131661</v>
      </c>
      <c r="R138" s="20">
        <f t="shared" si="42"/>
        <v>1</v>
      </c>
      <c r="S138" s="5">
        <f t="shared" si="45"/>
        <v>295.03678589158966</v>
      </c>
      <c r="T138" s="5">
        <f>S138*'Gas Calculations'!LSLT</f>
        <v>265.53310730243072</v>
      </c>
      <c r="U138" s="5">
        <f>U136</f>
        <v>292.05082166858563</v>
      </c>
      <c r="V138" s="5">
        <f>V136</f>
        <v>262.84573950172705</v>
      </c>
      <c r="W138" s="62">
        <f t="shared" si="43"/>
        <v>0.86570247933884292</v>
      </c>
    </row>
    <row r="139" spans="2:23" x14ac:dyDescent="0.35">
      <c r="B139">
        <v>118</v>
      </c>
      <c r="C139" s="16" t="str">
        <f t="shared" si="28"/>
        <v>Wed</v>
      </c>
      <c r="D139" s="12">
        <v>44769</v>
      </c>
      <c r="E139">
        <f t="shared" si="44"/>
        <v>65</v>
      </c>
      <c r="F139" s="61">
        <f t="shared" si="30"/>
        <v>242</v>
      </c>
      <c r="G139" s="61">
        <f t="shared" si="31"/>
        <v>51</v>
      </c>
      <c r="H139" s="61">
        <f t="shared" si="32"/>
        <v>118</v>
      </c>
      <c r="I139" s="61">
        <f t="shared" si="33"/>
        <v>69</v>
      </c>
      <c r="J139" s="61">
        <f t="shared" si="34"/>
        <v>0</v>
      </c>
      <c r="K139" s="11">
        <f t="shared" si="35"/>
        <v>0.26859504132231404</v>
      </c>
      <c r="L139" s="11">
        <f t="shared" si="36"/>
        <v>6.5249647320212045E-2</v>
      </c>
      <c r="M139" s="11">
        <f t="shared" si="37"/>
        <v>0.59710743801652888</v>
      </c>
      <c r="N139" s="11">
        <f t="shared" si="38"/>
        <v>0.45205245282005674</v>
      </c>
      <c r="O139" s="11">
        <f t="shared" si="39"/>
        <v>0</v>
      </c>
      <c r="P139" s="11">
        <f t="shared" si="40"/>
        <v>0</v>
      </c>
      <c r="Q139" s="20">
        <f t="shared" si="41"/>
        <v>0.51730210014026878</v>
      </c>
      <c r="R139" s="20">
        <f t="shared" si="42"/>
        <v>1</v>
      </c>
      <c r="S139" s="5">
        <f t="shared" si="45"/>
        <v>295.51944179983894</v>
      </c>
      <c r="T139" s="5">
        <f>S139*'Gas Calculations'!LSLT</f>
        <v>265.96749761985507</v>
      </c>
      <c r="U139" s="5">
        <f>U136</f>
        <v>292.05082166858563</v>
      </c>
      <c r="V139" s="5">
        <f>V136</f>
        <v>262.84573950172705</v>
      </c>
      <c r="W139" s="62">
        <f t="shared" si="43"/>
        <v>0.86570247933884292</v>
      </c>
    </row>
    <row r="140" spans="2:23" x14ac:dyDescent="0.35">
      <c r="B140">
        <v>119</v>
      </c>
      <c r="C140" s="16" t="str">
        <f t="shared" si="28"/>
        <v>Thu</v>
      </c>
      <c r="D140" s="12">
        <v>44770</v>
      </c>
      <c r="E140">
        <f t="shared" si="44"/>
        <v>64</v>
      </c>
      <c r="F140" s="61">
        <f t="shared" si="30"/>
        <v>242</v>
      </c>
      <c r="G140" s="61">
        <f t="shared" si="31"/>
        <v>51</v>
      </c>
      <c r="H140" s="61">
        <f t="shared" si="32"/>
        <v>119</v>
      </c>
      <c r="I140" s="61">
        <f t="shared" si="33"/>
        <v>70</v>
      </c>
      <c r="J140" s="61">
        <f t="shared" si="34"/>
        <v>0</v>
      </c>
      <c r="K140" s="11">
        <f t="shared" si="35"/>
        <v>0.26446280991735538</v>
      </c>
      <c r="L140" s="11">
        <f t="shared" si="36"/>
        <v>6.4245806592208785E-2</v>
      </c>
      <c r="M140" s="11">
        <f t="shared" si="37"/>
        <v>0.60123966942148765</v>
      </c>
      <c r="N140" s="11">
        <f t="shared" si="38"/>
        <v>0.45518084349701221</v>
      </c>
      <c r="O140" s="11">
        <f t="shared" si="39"/>
        <v>0</v>
      </c>
      <c r="P140" s="11">
        <f t="shared" si="40"/>
        <v>0</v>
      </c>
      <c r="Q140" s="20">
        <f t="shared" si="41"/>
        <v>0.51942665008922095</v>
      </c>
      <c r="R140" s="20">
        <f t="shared" si="42"/>
        <v>1</v>
      </c>
      <c r="S140" s="5">
        <f t="shared" si="45"/>
        <v>295.99814940630171</v>
      </c>
      <c r="T140" s="5">
        <f>S140*'Gas Calculations'!LSLT</f>
        <v>266.39833446567155</v>
      </c>
      <c r="U140" s="5">
        <f>U136</f>
        <v>292.05082166858563</v>
      </c>
      <c r="V140" s="5">
        <f>V136</f>
        <v>262.84573950172705</v>
      </c>
      <c r="W140" s="62">
        <f t="shared" si="43"/>
        <v>0.86570247933884303</v>
      </c>
    </row>
    <row r="141" spans="2:23" x14ac:dyDescent="0.35">
      <c r="B141">
        <v>120</v>
      </c>
      <c r="C141" s="16" t="str">
        <f t="shared" si="28"/>
        <v>Fri</v>
      </c>
      <c r="D141" s="12">
        <v>44771</v>
      </c>
      <c r="E141">
        <f t="shared" si="44"/>
        <v>63</v>
      </c>
      <c r="F141" s="61">
        <f t="shared" si="30"/>
        <v>242</v>
      </c>
      <c r="G141" s="61">
        <f t="shared" si="31"/>
        <v>51</v>
      </c>
      <c r="H141" s="61">
        <f t="shared" si="32"/>
        <v>120</v>
      </c>
      <c r="I141" s="61">
        <f t="shared" si="33"/>
        <v>71</v>
      </c>
      <c r="J141" s="61">
        <f t="shared" si="34"/>
        <v>0</v>
      </c>
      <c r="K141" s="11">
        <f t="shared" si="35"/>
        <v>0.26033057851239672</v>
      </c>
      <c r="L141" s="11">
        <f t="shared" si="36"/>
        <v>6.3241965864205524E-2</v>
      </c>
      <c r="M141" s="11">
        <f t="shared" si="37"/>
        <v>0.60537190082644632</v>
      </c>
      <c r="N141" s="11">
        <f t="shared" si="38"/>
        <v>0.45830923417396763</v>
      </c>
      <c r="O141" s="11">
        <f t="shared" si="39"/>
        <v>0</v>
      </c>
      <c r="P141" s="11">
        <f t="shared" si="40"/>
        <v>0</v>
      </c>
      <c r="Q141" s="20">
        <f t="shared" si="41"/>
        <v>0.52155120003817312</v>
      </c>
      <c r="R141" s="20">
        <f t="shared" si="42"/>
        <v>1</v>
      </c>
      <c r="S141" s="5">
        <f t="shared" si="45"/>
        <v>296.47295696145301</v>
      </c>
      <c r="T141" s="5">
        <f>S141*'Gas Calculations'!LSLT</f>
        <v>266.8256612653077</v>
      </c>
      <c r="U141" s="5">
        <f>U136</f>
        <v>292.05082166858563</v>
      </c>
      <c r="V141" s="5">
        <f>V136</f>
        <v>262.84573950172705</v>
      </c>
      <c r="W141" s="62">
        <f t="shared" si="43"/>
        <v>0.86570247933884303</v>
      </c>
    </row>
    <row r="142" spans="2:23" x14ac:dyDescent="0.35">
      <c r="B142">
        <v>121</v>
      </c>
      <c r="C142" s="16" t="str">
        <f t="shared" si="28"/>
        <v>Sat</v>
      </c>
      <c r="D142" s="12">
        <v>44772</v>
      </c>
      <c r="E142">
        <f t="shared" si="44"/>
        <v>62</v>
      </c>
      <c r="F142" s="61">
        <f t="shared" si="30"/>
        <v>242</v>
      </c>
      <c r="G142" s="61">
        <f t="shared" si="31"/>
        <v>51</v>
      </c>
      <c r="H142" s="61">
        <f t="shared" si="32"/>
        <v>121</v>
      </c>
      <c r="I142" s="61">
        <f t="shared" si="33"/>
        <v>72</v>
      </c>
      <c r="J142" s="61">
        <f t="shared" si="34"/>
        <v>0</v>
      </c>
      <c r="K142" s="11">
        <f t="shared" si="35"/>
        <v>0.256198347107438</v>
      </c>
      <c r="L142" s="11">
        <f t="shared" si="36"/>
        <v>6.2238125136202256E-2</v>
      </c>
      <c r="M142" s="11">
        <f t="shared" si="37"/>
        <v>0.60950413223140498</v>
      </c>
      <c r="N142" s="11">
        <f t="shared" si="38"/>
        <v>0.46143762485092304</v>
      </c>
      <c r="O142" s="11">
        <f t="shared" si="39"/>
        <v>0</v>
      </c>
      <c r="P142" s="11">
        <f t="shared" si="40"/>
        <v>0</v>
      </c>
      <c r="Q142" s="20">
        <f t="shared" si="41"/>
        <v>0.52367574998712529</v>
      </c>
      <c r="R142" s="20">
        <f t="shared" si="42"/>
        <v>1</v>
      </c>
      <c r="S142" s="5">
        <f t="shared" si="45"/>
        <v>296.94391193275982</v>
      </c>
      <c r="T142" s="5">
        <f>S142*'Gas Calculations'!LSLT</f>
        <v>267.24952073948384</v>
      </c>
      <c r="U142" s="5">
        <f>U136</f>
        <v>292.05082166858563</v>
      </c>
      <c r="V142" s="5">
        <f>V136</f>
        <v>262.84573950172705</v>
      </c>
      <c r="W142" s="62">
        <f t="shared" si="43"/>
        <v>0.86570247933884303</v>
      </c>
    </row>
    <row r="143" spans="2:23" x14ac:dyDescent="0.35">
      <c r="B143">
        <v>122</v>
      </c>
      <c r="C143" s="16" t="str">
        <f t="shared" si="28"/>
        <v>Sun</v>
      </c>
      <c r="D143" s="12">
        <v>44773</v>
      </c>
      <c r="E143">
        <f t="shared" si="44"/>
        <v>61</v>
      </c>
      <c r="F143" s="61">
        <f t="shared" si="30"/>
        <v>242</v>
      </c>
      <c r="G143" s="61">
        <f t="shared" si="31"/>
        <v>51</v>
      </c>
      <c r="H143" s="61">
        <f t="shared" si="32"/>
        <v>122</v>
      </c>
      <c r="I143" s="61">
        <f t="shared" si="33"/>
        <v>73</v>
      </c>
      <c r="J143" s="61">
        <f t="shared" si="34"/>
        <v>0</v>
      </c>
      <c r="K143" s="11">
        <f t="shared" si="35"/>
        <v>0.25206611570247933</v>
      </c>
      <c r="L143" s="11">
        <f t="shared" si="36"/>
        <v>6.1234284408198995E-2</v>
      </c>
      <c r="M143" s="11">
        <f t="shared" si="37"/>
        <v>0.61363636363636365</v>
      </c>
      <c r="N143" s="11">
        <f t="shared" si="38"/>
        <v>0.46456601552787841</v>
      </c>
      <c r="O143" s="11">
        <f t="shared" si="39"/>
        <v>0</v>
      </c>
      <c r="P143" s="11">
        <f t="shared" si="40"/>
        <v>0</v>
      </c>
      <c r="Q143" s="20">
        <f t="shared" si="41"/>
        <v>0.52580029993607735</v>
      </c>
      <c r="R143" s="20">
        <f t="shared" si="42"/>
        <v>1</v>
      </c>
      <c r="S143" s="5">
        <f t="shared" si="45"/>
        <v>297.41106102050071</v>
      </c>
      <c r="T143" s="5">
        <f>S143*'Gas Calculations'!LSLT</f>
        <v>267.66995491845063</v>
      </c>
      <c r="U143" s="5">
        <f>AVERAGE(S137:S141)</f>
        <v>295.51549333820856</v>
      </c>
      <c r="V143" s="5">
        <f>AVERAGE(T137:T141)</f>
        <v>265.96394400438766</v>
      </c>
      <c r="W143" s="62">
        <f t="shared" si="43"/>
        <v>0.86570247933884303</v>
      </c>
    </row>
    <row r="144" spans="2:23" x14ac:dyDescent="0.35">
      <c r="B144">
        <v>123</v>
      </c>
      <c r="C144" s="16" t="str">
        <f t="shared" si="28"/>
        <v>Mon</v>
      </c>
      <c r="D144" s="12">
        <v>44774</v>
      </c>
      <c r="E144">
        <f t="shared" si="44"/>
        <v>60</v>
      </c>
      <c r="F144" s="61">
        <f t="shared" si="30"/>
        <v>242</v>
      </c>
      <c r="G144" s="61">
        <f t="shared" si="31"/>
        <v>51</v>
      </c>
      <c r="H144" s="61">
        <f t="shared" si="32"/>
        <v>123</v>
      </c>
      <c r="I144" s="61">
        <f t="shared" si="33"/>
        <v>74</v>
      </c>
      <c r="J144" s="61">
        <f t="shared" si="34"/>
        <v>0</v>
      </c>
      <c r="K144" s="11">
        <f t="shared" si="35"/>
        <v>0.24793388429752067</v>
      </c>
      <c r="L144" s="11">
        <f t="shared" si="36"/>
        <v>6.0230443680195735E-2</v>
      </c>
      <c r="M144" s="11">
        <f t="shared" si="37"/>
        <v>0.61776859504132231</v>
      </c>
      <c r="N144" s="11">
        <f t="shared" si="38"/>
        <v>0.46769440620483382</v>
      </c>
      <c r="O144" s="11">
        <f t="shared" si="39"/>
        <v>0</v>
      </c>
      <c r="P144" s="11">
        <f t="shared" si="40"/>
        <v>0</v>
      </c>
      <c r="Q144" s="20">
        <f t="shared" si="41"/>
        <v>0.52792484988502952</v>
      </c>
      <c r="R144" s="20">
        <f t="shared" si="42"/>
        <v>1</v>
      </c>
      <c r="S144" s="5">
        <f t="shared" si="45"/>
        <v>297.8744501732026</v>
      </c>
      <c r="T144" s="5">
        <f>S144*'Gas Calculations'!LSLT</f>
        <v>268.08700515588237</v>
      </c>
      <c r="U144" s="5">
        <f>U143</f>
        <v>295.51549333820856</v>
      </c>
      <c r="V144" s="5">
        <f>V143</f>
        <v>265.96394400438766</v>
      </c>
      <c r="W144" s="62">
        <f t="shared" si="43"/>
        <v>0.86570247933884303</v>
      </c>
    </row>
    <row r="145" spans="2:23" x14ac:dyDescent="0.35">
      <c r="B145">
        <v>124</v>
      </c>
      <c r="C145" s="16" t="str">
        <f t="shared" si="28"/>
        <v>Tue</v>
      </c>
      <c r="D145" s="12">
        <v>44775</v>
      </c>
      <c r="E145">
        <f t="shared" si="44"/>
        <v>59</v>
      </c>
      <c r="F145" s="61">
        <f t="shared" si="30"/>
        <v>242</v>
      </c>
      <c r="G145" s="61">
        <f t="shared" si="31"/>
        <v>51</v>
      </c>
      <c r="H145" s="61">
        <f t="shared" si="32"/>
        <v>124</v>
      </c>
      <c r="I145" s="61">
        <f t="shared" si="33"/>
        <v>75</v>
      </c>
      <c r="J145" s="61">
        <f t="shared" si="34"/>
        <v>0</v>
      </c>
      <c r="K145" s="11">
        <f t="shared" si="35"/>
        <v>0.24380165289256198</v>
      </c>
      <c r="L145" s="11">
        <f t="shared" si="36"/>
        <v>5.9226602952192467E-2</v>
      </c>
      <c r="M145" s="11">
        <f t="shared" si="37"/>
        <v>0.62190082644628097</v>
      </c>
      <c r="N145" s="11">
        <f t="shared" si="38"/>
        <v>0.47082279688178924</v>
      </c>
      <c r="O145" s="11">
        <f t="shared" si="39"/>
        <v>0</v>
      </c>
      <c r="P145" s="11">
        <f t="shared" si="40"/>
        <v>0</v>
      </c>
      <c r="Q145" s="20">
        <f t="shared" si="41"/>
        <v>0.53004939983398169</v>
      </c>
      <c r="R145" s="20">
        <f t="shared" si="42"/>
        <v>1</v>
      </c>
      <c r="S145" s="5">
        <f t="shared" si="45"/>
        <v>298.33412460270694</v>
      </c>
      <c r="T145" s="5">
        <f>S145*'Gas Calculations'!LSLT</f>
        <v>268.50071214243627</v>
      </c>
      <c r="U145" s="5">
        <f>U143</f>
        <v>295.51549333820856</v>
      </c>
      <c r="V145" s="5">
        <f>V143</f>
        <v>265.96394400438766</v>
      </c>
      <c r="W145" s="62">
        <f t="shared" si="43"/>
        <v>0.86570247933884292</v>
      </c>
    </row>
    <row r="146" spans="2:23" x14ac:dyDescent="0.35">
      <c r="B146">
        <v>125</v>
      </c>
      <c r="C146" s="16" t="str">
        <f t="shared" si="28"/>
        <v>Wed</v>
      </c>
      <c r="D146" s="12">
        <v>44776</v>
      </c>
      <c r="E146">
        <f t="shared" si="44"/>
        <v>58</v>
      </c>
      <c r="F146" s="61">
        <f t="shared" si="30"/>
        <v>242</v>
      </c>
      <c r="G146" s="61">
        <f t="shared" si="31"/>
        <v>51</v>
      </c>
      <c r="H146" s="61">
        <f t="shared" si="32"/>
        <v>125</v>
      </c>
      <c r="I146" s="61">
        <f t="shared" si="33"/>
        <v>76</v>
      </c>
      <c r="J146" s="61">
        <f t="shared" si="34"/>
        <v>0</v>
      </c>
      <c r="K146" s="11">
        <f t="shared" si="35"/>
        <v>0.23966942148760331</v>
      </c>
      <c r="L146" s="11">
        <f t="shared" si="36"/>
        <v>5.8222762224189213E-2</v>
      </c>
      <c r="M146" s="11">
        <f t="shared" si="37"/>
        <v>0.62603305785123964</v>
      </c>
      <c r="N146" s="11">
        <f t="shared" si="38"/>
        <v>0.4739511875587446</v>
      </c>
      <c r="O146" s="11">
        <f t="shared" si="39"/>
        <v>0</v>
      </c>
      <c r="P146" s="11">
        <f t="shared" si="40"/>
        <v>0</v>
      </c>
      <c r="Q146" s="20">
        <f t="shared" si="41"/>
        <v>0.53217394978293386</v>
      </c>
      <c r="R146" s="20">
        <f t="shared" si="42"/>
        <v>0.99999999999999989</v>
      </c>
      <c r="S146" s="5">
        <f t="shared" si="45"/>
        <v>298.79012879887438</v>
      </c>
      <c r="T146" s="5">
        <f>S146*'Gas Calculations'!LSLT</f>
        <v>268.91111591898692</v>
      </c>
      <c r="U146" s="5">
        <f>U143</f>
        <v>295.51549333820856</v>
      </c>
      <c r="V146" s="5">
        <f>V143</f>
        <v>265.96394400438766</v>
      </c>
      <c r="W146" s="62">
        <f t="shared" si="43"/>
        <v>0.86570247933884292</v>
      </c>
    </row>
    <row r="147" spans="2:23" x14ac:dyDescent="0.35">
      <c r="B147">
        <v>126</v>
      </c>
      <c r="C147" s="16" t="str">
        <f t="shared" si="28"/>
        <v>Thu</v>
      </c>
      <c r="D147" s="12">
        <v>44777</v>
      </c>
      <c r="E147">
        <f t="shared" si="44"/>
        <v>57</v>
      </c>
      <c r="F147" s="61">
        <f t="shared" si="30"/>
        <v>242</v>
      </c>
      <c r="G147" s="61">
        <f t="shared" si="31"/>
        <v>51</v>
      </c>
      <c r="H147" s="61">
        <f t="shared" si="32"/>
        <v>126</v>
      </c>
      <c r="I147" s="61">
        <f t="shared" si="33"/>
        <v>77</v>
      </c>
      <c r="J147" s="61">
        <f t="shared" si="34"/>
        <v>0</v>
      </c>
      <c r="K147" s="11">
        <f t="shared" si="35"/>
        <v>0.23553719008264462</v>
      </c>
      <c r="L147" s="11">
        <f t="shared" si="36"/>
        <v>5.7218921496185945E-2</v>
      </c>
      <c r="M147" s="11">
        <f t="shared" si="37"/>
        <v>0.6301652892561983</v>
      </c>
      <c r="N147" s="11">
        <f t="shared" si="38"/>
        <v>0.47707957823570002</v>
      </c>
      <c r="O147" s="11">
        <f t="shared" si="39"/>
        <v>0</v>
      </c>
      <c r="P147" s="11">
        <f t="shared" si="40"/>
        <v>0</v>
      </c>
      <c r="Q147" s="20">
        <f t="shared" si="41"/>
        <v>0.53429849973188592</v>
      </c>
      <c r="R147" s="20">
        <f t="shared" si="42"/>
        <v>1.0000000000000002</v>
      </c>
      <c r="S147" s="5">
        <f t="shared" si="45"/>
        <v>299.2425065439395</v>
      </c>
      <c r="T147" s="5">
        <f>S147*'Gas Calculations'!LSLT</f>
        <v>269.31825588954558</v>
      </c>
      <c r="U147" s="5">
        <f>U143</f>
        <v>295.51549333820856</v>
      </c>
      <c r="V147" s="5">
        <f>V143</f>
        <v>265.96394400438766</v>
      </c>
      <c r="W147" s="62">
        <f t="shared" si="43"/>
        <v>0.86570247933884292</v>
      </c>
    </row>
    <row r="148" spans="2:23" x14ac:dyDescent="0.35">
      <c r="B148">
        <v>127</v>
      </c>
      <c r="C148" s="16" t="str">
        <f t="shared" si="28"/>
        <v>Fri</v>
      </c>
      <c r="D148" s="12">
        <v>44778</v>
      </c>
      <c r="E148">
        <f t="shared" si="44"/>
        <v>56</v>
      </c>
      <c r="F148" s="61">
        <f t="shared" si="30"/>
        <v>242</v>
      </c>
      <c r="G148" s="61">
        <f t="shared" si="31"/>
        <v>51</v>
      </c>
      <c r="H148" s="61">
        <f t="shared" si="32"/>
        <v>127</v>
      </c>
      <c r="I148" s="61">
        <f t="shared" si="33"/>
        <v>78</v>
      </c>
      <c r="J148" s="61">
        <f t="shared" si="34"/>
        <v>0</v>
      </c>
      <c r="K148" s="11">
        <f t="shared" si="35"/>
        <v>0.23140495867768596</v>
      </c>
      <c r="L148" s="11">
        <f t="shared" si="36"/>
        <v>5.6215080768182685E-2</v>
      </c>
      <c r="M148" s="11">
        <f t="shared" si="37"/>
        <v>0.63429752066115708</v>
      </c>
      <c r="N148" s="11">
        <f t="shared" si="38"/>
        <v>0.48020796891265549</v>
      </c>
      <c r="O148" s="11">
        <f t="shared" si="39"/>
        <v>0</v>
      </c>
      <c r="P148" s="11">
        <f t="shared" si="40"/>
        <v>0</v>
      </c>
      <c r="Q148" s="20">
        <f t="shared" si="41"/>
        <v>0.5364230496808382</v>
      </c>
      <c r="R148" s="20">
        <f t="shared" si="42"/>
        <v>0.99999999999999989</v>
      </c>
      <c r="S148" s="5">
        <f t="shared" si="45"/>
        <v>299.69130092652313</v>
      </c>
      <c r="T148" s="5">
        <f>S148*'Gas Calculations'!LSLT</f>
        <v>269.72217083387085</v>
      </c>
      <c r="U148" s="5">
        <f>U143</f>
        <v>295.51549333820856</v>
      </c>
      <c r="V148" s="5">
        <f>V143</f>
        <v>265.96394400438766</v>
      </c>
      <c r="W148" s="62">
        <f t="shared" si="43"/>
        <v>0.86570247933884303</v>
      </c>
    </row>
    <row r="149" spans="2:23" x14ac:dyDescent="0.35">
      <c r="B149">
        <v>128</v>
      </c>
      <c r="C149" s="16" t="str">
        <f t="shared" si="28"/>
        <v>Sat</v>
      </c>
      <c r="D149" s="12">
        <v>44779</v>
      </c>
      <c r="E149">
        <f t="shared" si="44"/>
        <v>55</v>
      </c>
      <c r="F149" s="61">
        <f t="shared" si="30"/>
        <v>242</v>
      </c>
      <c r="G149" s="61">
        <f t="shared" si="31"/>
        <v>51</v>
      </c>
      <c r="H149" s="61">
        <f t="shared" si="32"/>
        <v>128</v>
      </c>
      <c r="I149" s="61">
        <f t="shared" si="33"/>
        <v>79</v>
      </c>
      <c r="J149" s="61">
        <f t="shared" si="34"/>
        <v>0</v>
      </c>
      <c r="K149" s="11">
        <f t="shared" si="35"/>
        <v>0.22727272727272727</v>
      </c>
      <c r="L149" s="11">
        <f t="shared" si="36"/>
        <v>5.5211240040179424E-2</v>
      </c>
      <c r="M149" s="11">
        <f t="shared" si="37"/>
        <v>0.63842975206611574</v>
      </c>
      <c r="N149" s="11">
        <f t="shared" si="38"/>
        <v>0.48333635958961091</v>
      </c>
      <c r="O149" s="11">
        <f t="shared" si="39"/>
        <v>0</v>
      </c>
      <c r="P149" s="11">
        <f t="shared" si="40"/>
        <v>0</v>
      </c>
      <c r="Q149" s="20">
        <f t="shared" si="41"/>
        <v>0.53854759962979037</v>
      </c>
      <c r="R149" s="20">
        <f t="shared" si="42"/>
        <v>1</v>
      </c>
      <c r="S149" s="5">
        <f t="shared" si="45"/>
        <v>300.13655435531462</v>
      </c>
      <c r="T149" s="5">
        <f>S149*'Gas Calculations'!LSLT</f>
        <v>270.12289891978315</v>
      </c>
      <c r="U149" s="5">
        <f>U143</f>
        <v>295.51549333820856</v>
      </c>
      <c r="V149" s="5">
        <f>V143</f>
        <v>265.96394400438766</v>
      </c>
      <c r="W149" s="62">
        <f t="shared" si="43"/>
        <v>0.86570247933884303</v>
      </c>
    </row>
    <row r="150" spans="2:23" x14ac:dyDescent="0.35">
      <c r="B150">
        <v>129</v>
      </c>
      <c r="C150" s="16" t="str">
        <f t="shared" ref="C150:C204" si="46">TEXT(D150,"ddd")</f>
        <v>Sun</v>
      </c>
      <c r="D150" s="12">
        <v>44780</v>
      </c>
      <c r="E150">
        <f t="shared" si="44"/>
        <v>54</v>
      </c>
      <c r="F150" s="61">
        <f t="shared" si="30"/>
        <v>242</v>
      </c>
      <c r="G150" s="61">
        <f t="shared" si="31"/>
        <v>51</v>
      </c>
      <c r="H150" s="61">
        <f t="shared" si="32"/>
        <v>129</v>
      </c>
      <c r="I150" s="61">
        <f t="shared" si="33"/>
        <v>80</v>
      </c>
      <c r="J150" s="61">
        <f t="shared" si="34"/>
        <v>0</v>
      </c>
      <c r="K150" s="11">
        <f t="shared" si="35"/>
        <v>0.2231404958677686</v>
      </c>
      <c r="L150" s="11">
        <f t="shared" si="36"/>
        <v>5.4207399312176163E-2</v>
      </c>
      <c r="M150" s="11">
        <f t="shared" si="37"/>
        <v>0.6425619834710744</v>
      </c>
      <c r="N150" s="11">
        <f t="shared" si="38"/>
        <v>0.48646475026656633</v>
      </c>
      <c r="O150" s="11">
        <f t="shared" si="39"/>
        <v>0</v>
      </c>
      <c r="P150" s="11">
        <f t="shared" si="40"/>
        <v>0</v>
      </c>
      <c r="Q150" s="20">
        <f t="shared" si="41"/>
        <v>0.54067214957874254</v>
      </c>
      <c r="R150" s="20">
        <f t="shared" si="42"/>
        <v>0.99999999999999989</v>
      </c>
      <c r="S150" s="5">
        <f t="shared" ref="S150:S181" si="47">((PCc*L150)+(PCn*N150)+(PCn_2*P150))/(L150+N150+P150)</f>
        <v>300.57830857242982</v>
      </c>
      <c r="T150" s="5">
        <f>S150*'Gas Calculations'!LSLT</f>
        <v>270.52047771518687</v>
      </c>
      <c r="U150" s="5">
        <f>AVERAGE(S144:S148)</f>
        <v>298.78650220904927</v>
      </c>
      <c r="V150" s="5">
        <f>AVERAGE(T144:T148)</f>
        <v>268.90785198814444</v>
      </c>
      <c r="W150" s="62">
        <f t="shared" si="43"/>
        <v>0.86570247933884303</v>
      </c>
    </row>
    <row r="151" spans="2:23" x14ac:dyDescent="0.35">
      <c r="B151">
        <v>130</v>
      </c>
      <c r="C151" s="16" t="str">
        <f t="shared" si="46"/>
        <v>Mon</v>
      </c>
      <c r="D151" s="12">
        <v>44781</v>
      </c>
      <c r="E151">
        <f t="shared" si="44"/>
        <v>53</v>
      </c>
      <c r="F151" s="61">
        <f t="shared" ref="F151:F204" si="48">$E$19</f>
        <v>242</v>
      </c>
      <c r="G151" s="61">
        <f t="shared" ref="G151:G204" si="49">$E$18</f>
        <v>51</v>
      </c>
      <c r="H151" s="61">
        <f t="shared" ref="H151:H204" si="50">B151</f>
        <v>130</v>
      </c>
      <c r="I151" s="61">
        <f t="shared" ref="I151:I204" si="51">IF(D151&lt;$D$71,0,B151-49)</f>
        <v>81</v>
      </c>
      <c r="J151" s="61">
        <f t="shared" ref="J151:J204" si="52">IF(D151&lt;$D$175,0,B151-153)</f>
        <v>0</v>
      </c>
      <c r="K151" s="11">
        <f t="shared" ref="K151:K204" si="53">E151/F151</f>
        <v>0.21900826446280991</v>
      </c>
      <c r="L151" s="11">
        <f t="shared" ref="L151:L204" si="54">K151*$D$9</f>
        <v>5.3203558584172896E-2</v>
      </c>
      <c r="M151" s="11">
        <f t="shared" ref="M151:M204" si="55">(G151+0.5*(H151-I151)+(I151-J151))/F151</f>
        <v>0.64669421487603307</v>
      </c>
      <c r="N151" s="11">
        <f t="shared" ref="N151:N204" si="56">M151*$D$10</f>
        <v>0.48959314094352169</v>
      </c>
      <c r="O151" s="11">
        <f t="shared" ref="O151:O204" si="57">J151/F151</f>
        <v>0</v>
      </c>
      <c r="P151" s="11">
        <f t="shared" ref="P151:P204" si="58">O151*$D$9</f>
        <v>0</v>
      </c>
      <c r="Q151" s="20">
        <f t="shared" ref="Q151:Q204" si="59">SUM(L151,N151,P151)</f>
        <v>0.5427966995276946</v>
      </c>
      <c r="R151" s="20">
        <f t="shared" ref="R151:R204" si="60">(L151/Q151)+(N151/Q151)+(P151/Q151)</f>
        <v>0.99999999999999989</v>
      </c>
      <c r="S151" s="5">
        <f t="shared" si="47"/>
        <v>301.01660466645683</v>
      </c>
      <c r="T151" s="5">
        <f>S151*'Gas Calculations'!LSLT</f>
        <v>270.91494419981115</v>
      </c>
      <c r="U151" s="5">
        <f>U150</f>
        <v>298.78650220904927</v>
      </c>
      <c r="V151" s="5">
        <f>V150</f>
        <v>268.90785198814444</v>
      </c>
      <c r="W151" s="62">
        <f t="shared" ref="W151:W204" si="61">K151+M151+O151</f>
        <v>0.86570247933884303</v>
      </c>
    </row>
    <row r="152" spans="2:23" x14ac:dyDescent="0.35">
      <c r="B152">
        <v>131</v>
      </c>
      <c r="C152" s="16" t="str">
        <f t="shared" si="46"/>
        <v>Tue</v>
      </c>
      <c r="D152" s="12">
        <v>44782</v>
      </c>
      <c r="E152">
        <f t="shared" si="44"/>
        <v>52</v>
      </c>
      <c r="F152" s="61">
        <f t="shared" si="48"/>
        <v>242</v>
      </c>
      <c r="G152" s="61">
        <f t="shared" si="49"/>
        <v>51</v>
      </c>
      <c r="H152" s="61">
        <f t="shared" si="50"/>
        <v>131</v>
      </c>
      <c r="I152" s="61">
        <f t="shared" si="51"/>
        <v>82</v>
      </c>
      <c r="J152" s="61">
        <f t="shared" si="52"/>
        <v>0</v>
      </c>
      <c r="K152" s="11">
        <f t="shared" si="53"/>
        <v>0.21487603305785125</v>
      </c>
      <c r="L152" s="11">
        <f t="shared" si="54"/>
        <v>5.2199717856169635E-2</v>
      </c>
      <c r="M152" s="11">
        <f t="shared" si="55"/>
        <v>0.65082644628099173</v>
      </c>
      <c r="N152" s="11">
        <f t="shared" si="56"/>
        <v>0.4927215316204771</v>
      </c>
      <c r="O152" s="11">
        <f t="shared" si="57"/>
        <v>0</v>
      </c>
      <c r="P152" s="11">
        <f t="shared" si="58"/>
        <v>0</v>
      </c>
      <c r="Q152" s="20">
        <f t="shared" si="59"/>
        <v>0.54492124947664677</v>
      </c>
      <c r="R152" s="20">
        <f t="shared" si="60"/>
        <v>0.99999999999999989</v>
      </c>
      <c r="S152" s="5">
        <f t="shared" si="47"/>
        <v>301.4514830851956</v>
      </c>
      <c r="T152" s="5">
        <f>S152*'Gas Calculations'!LSLT</f>
        <v>271.30633477667607</v>
      </c>
      <c r="U152" s="5">
        <f>U150</f>
        <v>298.78650220904927</v>
      </c>
      <c r="V152" s="5">
        <f>V150</f>
        <v>268.90785198814444</v>
      </c>
      <c r="W152" s="62">
        <f t="shared" si="61"/>
        <v>0.86570247933884303</v>
      </c>
    </row>
    <row r="153" spans="2:23" x14ac:dyDescent="0.35">
      <c r="B153">
        <v>132</v>
      </c>
      <c r="C153" s="16" t="str">
        <f t="shared" si="46"/>
        <v>Wed</v>
      </c>
      <c r="D153" s="12">
        <v>44783</v>
      </c>
      <c r="E153">
        <f t="shared" si="44"/>
        <v>51</v>
      </c>
      <c r="F153" s="61">
        <f t="shared" si="48"/>
        <v>242</v>
      </c>
      <c r="G153" s="61">
        <f t="shared" si="49"/>
        <v>51</v>
      </c>
      <c r="H153" s="61">
        <f t="shared" si="50"/>
        <v>132</v>
      </c>
      <c r="I153" s="61">
        <f t="shared" si="51"/>
        <v>83</v>
      </c>
      <c r="J153" s="61">
        <f t="shared" si="52"/>
        <v>0</v>
      </c>
      <c r="K153" s="11">
        <f t="shared" si="53"/>
        <v>0.21074380165289255</v>
      </c>
      <c r="L153" s="11">
        <f t="shared" si="54"/>
        <v>5.1195877128166374E-2</v>
      </c>
      <c r="M153" s="11">
        <f t="shared" si="55"/>
        <v>0.6549586776859504</v>
      </c>
      <c r="N153" s="11">
        <f t="shared" si="56"/>
        <v>0.49584992229743252</v>
      </c>
      <c r="O153" s="11">
        <f t="shared" si="57"/>
        <v>0</v>
      </c>
      <c r="P153" s="11">
        <f t="shared" si="58"/>
        <v>0</v>
      </c>
      <c r="Q153" s="20">
        <f t="shared" si="59"/>
        <v>0.54704579942559894</v>
      </c>
      <c r="R153" s="20">
        <f t="shared" si="60"/>
        <v>0.99999999999999989</v>
      </c>
      <c r="S153" s="5">
        <f t="shared" si="47"/>
        <v>301.88298364810106</v>
      </c>
      <c r="T153" s="5">
        <f>S153*'Gas Calculations'!LSLT</f>
        <v>271.69468528329094</v>
      </c>
      <c r="U153" s="5">
        <f>U150</f>
        <v>298.78650220904927</v>
      </c>
      <c r="V153" s="5">
        <f>V150</f>
        <v>268.90785198814444</v>
      </c>
      <c r="W153" s="62">
        <f t="shared" si="61"/>
        <v>0.86570247933884292</v>
      </c>
    </row>
    <row r="154" spans="2:23" x14ac:dyDescent="0.35">
      <c r="B154">
        <v>133</v>
      </c>
      <c r="C154" s="16" t="str">
        <f t="shared" si="46"/>
        <v>Thu</v>
      </c>
      <c r="D154" s="12">
        <v>44784</v>
      </c>
      <c r="E154">
        <f t="shared" si="44"/>
        <v>50</v>
      </c>
      <c r="F154" s="61">
        <f t="shared" si="48"/>
        <v>242</v>
      </c>
      <c r="G154" s="61">
        <f t="shared" si="49"/>
        <v>51</v>
      </c>
      <c r="H154" s="61">
        <f t="shared" si="50"/>
        <v>133</v>
      </c>
      <c r="I154" s="61">
        <f t="shared" si="51"/>
        <v>84</v>
      </c>
      <c r="J154" s="61">
        <f t="shared" si="52"/>
        <v>0</v>
      </c>
      <c r="K154" s="11">
        <f t="shared" si="53"/>
        <v>0.20661157024793389</v>
      </c>
      <c r="L154" s="11">
        <f t="shared" si="54"/>
        <v>5.0192036400163113E-2</v>
      </c>
      <c r="M154" s="11">
        <f t="shared" si="55"/>
        <v>0.65909090909090906</v>
      </c>
      <c r="N154" s="11">
        <f t="shared" si="56"/>
        <v>0.49897831297438788</v>
      </c>
      <c r="O154" s="11">
        <f t="shared" si="57"/>
        <v>0</v>
      </c>
      <c r="P154" s="11">
        <f t="shared" si="58"/>
        <v>0</v>
      </c>
      <c r="Q154" s="20">
        <f t="shared" si="59"/>
        <v>0.549170349374551</v>
      </c>
      <c r="R154" s="20">
        <f t="shared" si="60"/>
        <v>1</v>
      </c>
      <c r="S154" s="5">
        <f t="shared" si="47"/>
        <v>302.31114555843749</v>
      </c>
      <c r="T154" s="5">
        <f>S154*'Gas Calculations'!LSLT</f>
        <v>272.08003100259373</v>
      </c>
      <c r="U154" s="5">
        <f>U150</f>
        <v>298.78650220904927</v>
      </c>
      <c r="V154" s="5">
        <f>V150</f>
        <v>268.90785198814444</v>
      </c>
      <c r="W154" s="62">
        <f t="shared" si="61"/>
        <v>0.86570247933884292</v>
      </c>
    </row>
    <row r="155" spans="2:23" x14ac:dyDescent="0.35">
      <c r="B155">
        <v>134</v>
      </c>
      <c r="C155" s="16" t="str">
        <f t="shared" si="46"/>
        <v>Fri</v>
      </c>
      <c r="D155" s="12">
        <v>44785</v>
      </c>
      <c r="E155">
        <f t="shared" si="44"/>
        <v>49</v>
      </c>
      <c r="F155" s="61">
        <f t="shared" si="48"/>
        <v>242</v>
      </c>
      <c r="G155" s="61">
        <f t="shared" si="49"/>
        <v>51</v>
      </c>
      <c r="H155" s="61">
        <f t="shared" si="50"/>
        <v>134</v>
      </c>
      <c r="I155" s="61">
        <f t="shared" si="51"/>
        <v>85</v>
      </c>
      <c r="J155" s="61">
        <f t="shared" si="52"/>
        <v>0</v>
      </c>
      <c r="K155" s="11">
        <f t="shared" si="53"/>
        <v>0.2024793388429752</v>
      </c>
      <c r="L155" s="11">
        <f t="shared" si="54"/>
        <v>4.9188195672159846E-2</v>
      </c>
      <c r="M155" s="11">
        <f t="shared" si="55"/>
        <v>0.66322314049586772</v>
      </c>
      <c r="N155" s="11">
        <f t="shared" si="56"/>
        <v>0.50210670365134336</v>
      </c>
      <c r="O155" s="11">
        <f t="shared" si="57"/>
        <v>0</v>
      </c>
      <c r="P155" s="11">
        <f t="shared" si="58"/>
        <v>0</v>
      </c>
      <c r="Q155" s="20">
        <f t="shared" si="59"/>
        <v>0.55129489932350317</v>
      </c>
      <c r="R155" s="20">
        <f t="shared" si="60"/>
        <v>1</v>
      </c>
      <c r="S155" s="5">
        <f t="shared" si="47"/>
        <v>302.73600741515156</v>
      </c>
      <c r="T155" s="5">
        <f>S155*'Gas Calculations'!LSLT</f>
        <v>272.46240667363639</v>
      </c>
      <c r="U155" s="5">
        <f>U150</f>
        <v>298.78650220904927</v>
      </c>
      <c r="V155" s="5">
        <f>V150</f>
        <v>268.90785198814444</v>
      </c>
      <c r="W155" s="62">
        <f t="shared" si="61"/>
        <v>0.86570247933884292</v>
      </c>
    </row>
    <row r="156" spans="2:23" x14ac:dyDescent="0.35">
      <c r="B156">
        <v>135</v>
      </c>
      <c r="C156" s="16" t="str">
        <f t="shared" si="46"/>
        <v>Sat</v>
      </c>
      <c r="D156" s="12">
        <v>44786</v>
      </c>
      <c r="E156">
        <f t="shared" si="44"/>
        <v>48</v>
      </c>
      <c r="F156" s="61">
        <f t="shared" si="48"/>
        <v>242</v>
      </c>
      <c r="G156" s="61">
        <f t="shared" si="49"/>
        <v>51</v>
      </c>
      <c r="H156" s="61">
        <f t="shared" si="50"/>
        <v>135</v>
      </c>
      <c r="I156" s="61">
        <f t="shared" si="51"/>
        <v>86</v>
      </c>
      <c r="J156" s="61">
        <f t="shared" si="52"/>
        <v>0</v>
      </c>
      <c r="K156" s="11">
        <f t="shared" si="53"/>
        <v>0.19834710743801653</v>
      </c>
      <c r="L156" s="11">
        <f t="shared" si="54"/>
        <v>4.8184354944156592E-2</v>
      </c>
      <c r="M156" s="11">
        <f t="shared" si="55"/>
        <v>0.6673553719008265</v>
      </c>
      <c r="N156" s="11">
        <f t="shared" si="56"/>
        <v>0.50523509432829883</v>
      </c>
      <c r="O156" s="11">
        <f t="shared" si="57"/>
        <v>0</v>
      </c>
      <c r="P156" s="11">
        <f t="shared" si="58"/>
        <v>0</v>
      </c>
      <c r="Q156" s="20">
        <f t="shared" si="59"/>
        <v>0.55341944927245545</v>
      </c>
      <c r="R156" s="20">
        <f t="shared" si="60"/>
        <v>1</v>
      </c>
      <c r="S156" s="5">
        <f t="shared" si="47"/>
        <v>303.15760722447214</v>
      </c>
      <c r="T156" s="5">
        <f>S156*'Gas Calculations'!LSLT</f>
        <v>272.84184650202496</v>
      </c>
      <c r="U156" s="5">
        <f>U150</f>
        <v>298.78650220904927</v>
      </c>
      <c r="V156" s="5">
        <f>V150</f>
        <v>268.90785198814444</v>
      </c>
      <c r="W156" s="62">
        <f t="shared" si="61"/>
        <v>0.86570247933884303</v>
      </c>
    </row>
    <row r="157" spans="2:23" x14ac:dyDescent="0.35">
      <c r="B157">
        <v>136</v>
      </c>
      <c r="C157" s="16" t="str">
        <f t="shared" si="46"/>
        <v>Sun</v>
      </c>
      <c r="D157" s="12">
        <v>44787</v>
      </c>
      <c r="E157">
        <f t="shared" si="44"/>
        <v>47</v>
      </c>
      <c r="F157" s="61">
        <f t="shared" si="48"/>
        <v>242</v>
      </c>
      <c r="G157" s="61">
        <f t="shared" si="49"/>
        <v>51</v>
      </c>
      <c r="H157" s="61">
        <f t="shared" si="50"/>
        <v>136</v>
      </c>
      <c r="I157" s="61">
        <f t="shared" si="51"/>
        <v>87</v>
      </c>
      <c r="J157" s="61">
        <f t="shared" si="52"/>
        <v>0</v>
      </c>
      <c r="K157" s="11">
        <f t="shared" si="53"/>
        <v>0.19421487603305784</v>
      </c>
      <c r="L157" s="11">
        <f t="shared" si="54"/>
        <v>4.7180514216153324E-2</v>
      </c>
      <c r="M157" s="11">
        <f t="shared" si="55"/>
        <v>0.67148760330578516</v>
      </c>
      <c r="N157" s="11">
        <f t="shared" si="56"/>
        <v>0.50836348500525419</v>
      </c>
      <c r="O157" s="11">
        <f t="shared" si="57"/>
        <v>0</v>
      </c>
      <c r="P157" s="11">
        <f t="shared" si="58"/>
        <v>0</v>
      </c>
      <c r="Q157" s="20">
        <f t="shared" si="59"/>
        <v>0.55554399922140751</v>
      </c>
      <c r="R157" s="20">
        <f t="shared" si="60"/>
        <v>1</v>
      </c>
      <c r="S157" s="5">
        <f t="shared" si="47"/>
        <v>303.57598241124396</v>
      </c>
      <c r="T157" s="5">
        <f>S157*'Gas Calculations'!LSLT</f>
        <v>273.21838417011958</v>
      </c>
      <c r="U157" s="5">
        <f>AVERAGE(S151:S155)</f>
        <v>301.87964487466854</v>
      </c>
      <c r="V157" s="5">
        <f>AVERAGE(T151:T155)</f>
        <v>271.69168038720164</v>
      </c>
      <c r="W157" s="62">
        <f t="shared" si="61"/>
        <v>0.86570247933884303</v>
      </c>
    </row>
    <row r="158" spans="2:23" x14ac:dyDescent="0.35">
      <c r="B158">
        <v>137</v>
      </c>
      <c r="C158" s="16" t="str">
        <f t="shared" si="46"/>
        <v>Mon</v>
      </c>
      <c r="D158" s="12">
        <v>44788</v>
      </c>
      <c r="E158">
        <f t="shared" si="44"/>
        <v>46</v>
      </c>
      <c r="F158" s="61">
        <f t="shared" si="48"/>
        <v>242</v>
      </c>
      <c r="G158" s="61">
        <f t="shared" si="49"/>
        <v>51</v>
      </c>
      <c r="H158" s="61">
        <f t="shared" si="50"/>
        <v>137</v>
      </c>
      <c r="I158" s="61">
        <f t="shared" si="51"/>
        <v>88</v>
      </c>
      <c r="J158" s="61">
        <f t="shared" si="52"/>
        <v>0</v>
      </c>
      <c r="K158" s="11">
        <f t="shared" si="53"/>
        <v>0.19008264462809918</v>
      </c>
      <c r="L158" s="11">
        <f t="shared" si="54"/>
        <v>4.6176673488150063E-2</v>
      </c>
      <c r="M158" s="11">
        <f t="shared" si="55"/>
        <v>0.67561983471074383</v>
      </c>
      <c r="N158" s="11">
        <f t="shared" si="56"/>
        <v>0.51149187568220955</v>
      </c>
      <c r="O158" s="11">
        <f t="shared" si="57"/>
        <v>0</v>
      </c>
      <c r="P158" s="11">
        <f t="shared" si="58"/>
        <v>0</v>
      </c>
      <c r="Q158" s="20">
        <f t="shared" si="59"/>
        <v>0.55766854917035957</v>
      </c>
      <c r="R158" s="20">
        <f t="shared" si="60"/>
        <v>1</v>
      </c>
      <c r="S158" s="5">
        <f t="shared" si="47"/>
        <v>303.99116983000192</v>
      </c>
      <c r="T158" s="5">
        <f>S158*'Gas Calculations'!LSLT</f>
        <v>273.59205284700175</v>
      </c>
      <c r="U158" s="5">
        <f>U157</f>
        <v>301.87964487466854</v>
      </c>
      <c r="V158" s="5">
        <f>V157</f>
        <v>271.69168038720164</v>
      </c>
      <c r="W158" s="62">
        <f t="shared" si="61"/>
        <v>0.86570247933884303</v>
      </c>
    </row>
    <row r="159" spans="2:23" x14ac:dyDescent="0.35">
      <c r="B159">
        <v>138</v>
      </c>
      <c r="C159" s="16" t="str">
        <f t="shared" si="46"/>
        <v>Tue</v>
      </c>
      <c r="D159" s="12">
        <v>44789</v>
      </c>
      <c r="E159">
        <f t="shared" ref="E159:E204" si="62">$AH$13-D159</f>
        <v>45</v>
      </c>
      <c r="F159" s="61">
        <f t="shared" si="48"/>
        <v>242</v>
      </c>
      <c r="G159" s="61">
        <f t="shared" si="49"/>
        <v>51</v>
      </c>
      <c r="H159" s="61">
        <f t="shared" si="50"/>
        <v>138</v>
      </c>
      <c r="I159" s="61">
        <f t="shared" si="51"/>
        <v>89</v>
      </c>
      <c r="J159" s="61">
        <f t="shared" si="52"/>
        <v>0</v>
      </c>
      <c r="K159" s="11">
        <f t="shared" si="53"/>
        <v>0.18595041322314049</v>
      </c>
      <c r="L159" s="11">
        <f t="shared" si="54"/>
        <v>4.5172832760146796E-2</v>
      </c>
      <c r="M159" s="11">
        <f t="shared" si="55"/>
        <v>0.67975206611570249</v>
      </c>
      <c r="N159" s="11">
        <f t="shared" si="56"/>
        <v>0.51462026635916502</v>
      </c>
      <c r="O159" s="11">
        <f t="shared" si="57"/>
        <v>0</v>
      </c>
      <c r="P159" s="11">
        <f t="shared" si="58"/>
        <v>0</v>
      </c>
      <c r="Q159" s="20">
        <f t="shared" si="59"/>
        <v>0.55979309911931185</v>
      </c>
      <c r="R159" s="20">
        <f t="shared" si="60"/>
        <v>0.99999999999999989</v>
      </c>
      <c r="S159" s="5">
        <f t="shared" si="47"/>
        <v>304.40320577579337</v>
      </c>
      <c r="T159" s="5">
        <f>S159*'Gas Calculations'!LSLT</f>
        <v>273.96288519821405</v>
      </c>
      <c r="U159" s="5">
        <f>U157</f>
        <v>301.87964487466854</v>
      </c>
      <c r="V159" s="5">
        <f>V157</f>
        <v>271.69168038720164</v>
      </c>
      <c r="W159" s="62">
        <f t="shared" si="61"/>
        <v>0.86570247933884303</v>
      </c>
    </row>
    <row r="160" spans="2:23" x14ac:dyDescent="0.35">
      <c r="B160">
        <v>139</v>
      </c>
      <c r="C160" s="16" t="str">
        <f t="shared" si="46"/>
        <v>Wed</v>
      </c>
      <c r="D160" s="12">
        <v>44790</v>
      </c>
      <c r="E160">
        <f t="shared" si="62"/>
        <v>44</v>
      </c>
      <c r="F160" s="61">
        <f t="shared" si="48"/>
        <v>242</v>
      </c>
      <c r="G160" s="61">
        <f t="shared" si="49"/>
        <v>51</v>
      </c>
      <c r="H160" s="61">
        <f t="shared" si="50"/>
        <v>139</v>
      </c>
      <c r="I160" s="61">
        <f t="shared" si="51"/>
        <v>90</v>
      </c>
      <c r="J160" s="61">
        <f t="shared" si="52"/>
        <v>0</v>
      </c>
      <c r="K160" s="11">
        <f t="shared" si="53"/>
        <v>0.18181818181818182</v>
      </c>
      <c r="L160" s="11">
        <f t="shared" si="54"/>
        <v>4.4168992032143542E-2</v>
      </c>
      <c r="M160" s="11">
        <f t="shared" si="55"/>
        <v>0.68388429752066116</v>
      </c>
      <c r="N160" s="11">
        <f t="shared" si="56"/>
        <v>0.51774865703612039</v>
      </c>
      <c r="O160" s="11">
        <f t="shared" si="57"/>
        <v>0</v>
      </c>
      <c r="P160" s="11">
        <f t="shared" si="58"/>
        <v>0</v>
      </c>
      <c r="Q160" s="20">
        <f t="shared" si="59"/>
        <v>0.56191764906826391</v>
      </c>
      <c r="R160" s="20">
        <f t="shared" si="60"/>
        <v>1</v>
      </c>
      <c r="S160" s="5">
        <f t="shared" si="47"/>
        <v>304.81212599475538</v>
      </c>
      <c r="T160" s="5">
        <f>S160*'Gas Calculations'!LSLT</f>
        <v>274.33091339527982</v>
      </c>
      <c r="U160" s="5">
        <f>U157</f>
        <v>301.87964487466854</v>
      </c>
      <c r="V160" s="5">
        <f>V157</f>
        <v>271.69168038720164</v>
      </c>
      <c r="W160" s="62">
        <f t="shared" si="61"/>
        <v>0.86570247933884303</v>
      </c>
    </row>
    <row r="161" spans="2:23" x14ac:dyDescent="0.35">
      <c r="B161">
        <v>140</v>
      </c>
      <c r="C161" s="16" t="str">
        <f t="shared" si="46"/>
        <v>Thu</v>
      </c>
      <c r="D161" s="12">
        <v>44791</v>
      </c>
      <c r="E161">
        <f t="shared" si="62"/>
        <v>43</v>
      </c>
      <c r="F161" s="61">
        <f t="shared" si="48"/>
        <v>242</v>
      </c>
      <c r="G161" s="61">
        <f t="shared" si="49"/>
        <v>51</v>
      </c>
      <c r="H161" s="61">
        <f t="shared" si="50"/>
        <v>140</v>
      </c>
      <c r="I161" s="61">
        <f t="shared" si="51"/>
        <v>91</v>
      </c>
      <c r="J161" s="61">
        <f t="shared" si="52"/>
        <v>0</v>
      </c>
      <c r="K161" s="11">
        <f t="shared" si="53"/>
        <v>0.17768595041322313</v>
      </c>
      <c r="L161" s="11">
        <f t="shared" si="54"/>
        <v>4.3165151304140274E-2</v>
      </c>
      <c r="M161" s="11">
        <f t="shared" si="55"/>
        <v>0.68801652892561982</v>
      </c>
      <c r="N161" s="11">
        <f t="shared" si="56"/>
        <v>0.52087704771307575</v>
      </c>
      <c r="O161" s="11">
        <f t="shared" si="57"/>
        <v>0</v>
      </c>
      <c r="P161" s="11">
        <f t="shared" si="58"/>
        <v>0</v>
      </c>
      <c r="Q161" s="20">
        <f t="shared" si="59"/>
        <v>0.56404219901721597</v>
      </c>
      <c r="R161" s="20">
        <f t="shared" si="60"/>
        <v>1</v>
      </c>
      <c r="S161" s="5">
        <f t="shared" si="47"/>
        <v>305.21796569445178</v>
      </c>
      <c r="T161" s="5">
        <f>S161*'Gas Calculations'!LSLT</f>
        <v>274.69616912500663</v>
      </c>
      <c r="U161" s="5">
        <f>U157</f>
        <v>301.87964487466854</v>
      </c>
      <c r="V161" s="5">
        <f>V157</f>
        <v>271.69168038720164</v>
      </c>
      <c r="W161" s="62">
        <f t="shared" si="61"/>
        <v>0.86570247933884292</v>
      </c>
    </row>
    <row r="162" spans="2:23" x14ac:dyDescent="0.35">
      <c r="B162">
        <v>141</v>
      </c>
      <c r="C162" s="16" t="str">
        <f t="shared" si="46"/>
        <v>Fri</v>
      </c>
      <c r="D162" s="12">
        <v>44792</v>
      </c>
      <c r="E162">
        <f t="shared" si="62"/>
        <v>42</v>
      </c>
      <c r="F162" s="61">
        <f t="shared" si="48"/>
        <v>242</v>
      </c>
      <c r="G162" s="61">
        <f t="shared" si="49"/>
        <v>51</v>
      </c>
      <c r="H162" s="61">
        <f t="shared" si="50"/>
        <v>141</v>
      </c>
      <c r="I162" s="61">
        <f t="shared" si="51"/>
        <v>92</v>
      </c>
      <c r="J162" s="61">
        <f t="shared" si="52"/>
        <v>0</v>
      </c>
      <c r="K162" s="11">
        <f t="shared" si="53"/>
        <v>0.17355371900826447</v>
      </c>
      <c r="L162" s="11">
        <f t="shared" si="54"/>
        <v>4.2161310576137014E-2</v>
      </c>
      <c r="M162" s="11">
        <f t="shared" si="55"/>
        <v>0.69214876033057848</v>
      </c>
      <c r="N162" s="11">
        <f t="shared" si="56"/>
        <v>0.52400543839003122</v>
      </c>
      <c r="O162" s="11">
        <f t="shared" si="57"/>
        <v>0</v>
      </c>
      <c r="P162" s="11">
        <f t="shared" si="58"/>
        <v>0</v>
      </c>
      <c r="Q162" s="20">
        <f t="shared" si="59"/>
        <v>0.56616674896616825</v>
      </c>
      <c r="R162" s="20">
        <f t="shared" si="60"/>
        <v>1</v>
      </c>
      <c r="S162" s="5">
        <f t="shared" si="47"/>
        <v>305.62075955397887</v>
      </c>
      <c r="T162" s="5">
        <f>S162*'Gas Calculations'!LSLT</f>
        <v>275.05868359858101</v>
      </c>
      <c r="U162" s="5">
        <f>U157</f>
        <v>301.87964487466854</v>
      </c>
      <c r="V162" s="5">
        <f>V157</f>
        <v>271.69168038720164</v>
      </c>
      <c r="W162" s="62">
        <f t="shared" si="61"/>
        <v>0.86570247933884292</v>
      </c>
    </row>
    <row r="163" spans="2:23" x14ac:dyDescent="0.35">
      <c r="B163">
        <v>142</v>
      </c>
      <c r="C163" s="16" t="str">
        <f t="shared" si="46"/>
        <v>Sat</v>
      </c>
      <c r="D163" s="12">
        <v>44793</v>
      </c>
      <c r="E163">
        <f t="shared" si="62"/>
        <v>41</v>
      </c>
      <c r="F163" s="61">
        <f t="shared" si="48"/>
        <v>242</v>
      </c>
      <c r="G163" s="61">
        <f t="shared" si="49"/>
        <v>51</v>
      </c>
      <c r="H163" s="61">
        <f t="shared" si="50"/>
        <v>142</v>
      </c>
      <c r="I163" s="61">
        <f t="shared" si="51"/>
        <v>93</v>
      </c>
      <c r="J163" s="61">
        <f t="shared" si="52"/>
        <v>0</v>
      </c>
      <c r="K163" s="11">
        <f t="shared" si="53"/>
        <v>0.16942148760330578</v>
      </c>
      <c r="L163" s="11">
        <f t="shared" si="54"/>
        <v>4.1157469848133746E-2</v>
      </c>
      <c r="M163" s="11">
        <f t="shared" si="55"/>
        <v>0.69628099173553715</v>
      </c>
      <c r="N163" s="11">
        <f t="shared" si="56"/>
        <v>0.52713382906698658</v>
      </c>
      <c r="O163" s="11">
        <f t="shared" si="57"/>
        <v>0</v>
      </c>
      <c r="P163" s="11">
        <f t="shared" si="58"/>
        <v>0</v>
      </c>
      <c r="Q163" s="20">
        <f t="shared" si="59"/>
        <v>0.56829129891512031</v>
      </c>
      <c r="R163" s="20">
        <f t="shared" si="60"/>
        <v>1</v>
      </c>
      <c r="S163" s="5">
        <f t="shared" si="47"/>
        <v>306.02054173384334</v>
      </c>
      <c r="T163" s="5">
        <f>S163*'Gas Calculations'!LSLT</f>
        <v>275.41848756045903</v>
      </c>
      <c r="U163" s="5">
        <f>U157</f>
        <v>301.87964487466854</v>
      </c>
      <c r="V163" s="5">
        <f>V157</f>
        <v>271.69168038720164</v>
      </c>
      <c r="W163" s="62">
        <f t="shared" si="61"/>
        <v>0.86570247933884292</v>
      </c>
    </row>
    <row r="164" spans="2:23" x14ac:dyDescent="0.35">
      <c r="B164">
        <v>143</v>
      </c>
      <c r="C164" s="16" t="str">
        <f t="shared" si="46"/>
        <v>Sun</v>
      </c>
      <c r="D164" s="12">
        <v>44794</v>
      </c>
      <c r="E164">
        <f t="shared" si="62"/>
        <v>40</v>
      </c>
      <c r="F164" s="61">
        <f t="shared" si="48"/>
        <v>242</v>
      </c>
      <c r="G164" s="61">
        <f t="shared" si="49"/>
        <v>51</v>
      </c>
      <c r="H164" s="61">
        <f t="shared" si="50"/>
        <v>143</v>
      </c>
      <c r="I164" s="61">
        <f t="shared" si="51"/>
        <v>94</v>
      </c>
      <c r="J164" s="61">
        <f t="shared" si="52"/>
        <v>0</v>
      </c>
      <c r="K164" s="11">
        <f t="shared" si="53"/>
        <v>0.16528925619834711</v>
      </c>
      <c r="L164" s="11">
        <f t="shared" si="54"/>
        <v>4.0153629120130492E-2</v>
      </c>
      <c r="M164" s="11">
        <f t="shared" si="55"/>
        <v>0.70041322314049592</v>
      </c>
      <c r="N164" s="11">
        <f t="shared" si="56"/>
        <v>0.53026221974394205</v>
      </c>
      <c r="O164" s="11">
        <f t="shared" si="57"/>
        <v>0</v>
      </c>
      <c r="P164" s="11">
        <f t="shared" si="58"/>
        <v>0</v>
      </c>
      <c r="Q164" s="20">
        <f t="shared" si="59"/>
        <v>0.57041584886407259</v>
      </c>
      <c r="R164" s="20">
        <f t="shared" si="60"/>
        <v>1</v>
      </c>
      <c r="S164" s="5">
        <f t="shared" si="47"/>
        <v>306.41734588561997</v>
      </c>
      <c r="T164" s="5">
        <f>S164*'Gas Calculations'!LSLT</f>
        <v>275.77561129705799</v>
      </c>
      <c r="U164" s="5">
        <f>AVERAGE(S158:S162)</f>
        <v>304.80904536979625</v>
      </c>
      <c r="V164" s="5">
        <f>AVERAGE(T158:T162)</f>
        <v>274.32814083281664</v>
      </c>
      <c r="W164" s="62">
        <f t="shared" si="61"/>
        <v>0.86570247933884303</v>
      </c>
    </row>
    <row r="165" spans="2:23" x14ac:dyDescent="0.35">
      <c r="B165">
        <v>144</v>
      </c>
      <c r="C165" s="16" t="str">
        <f t="shared" si="46"/>
        <v>Mon</v>
      </c>
      <c r="D165" s="12">
        <v>44795</v>
      </c>
      <c r="E165">
        <f t="shared" si="62"/>
        <v>39</v>
      </c>
      <c r="F165" s="61">
        <f t="shared" si="48"/>
        <v>242</v>
      </c>
      <c r="G165" s="61">
        <f t="shared" si="49"/>
        <v>51</v>
      </c>
      <c r="H165" s="61">
        <f t="shared" si="50"/>
        <v>144</v>
      </c>
      <c r="I165" s="61">
        <f t="shared" si="51"/>
        <v>95</v>
      </c>
      <c r="J165" s="61">
        <f t="shared" si="52"/>
        <v>0</v>
      </c>
      <c r="K165" s="11">
        <f t="shared" si="53"/>
        <v>0.16115702479338842</v>
      </c>
      <c r="L165" s="11">
        <f t="shared" si="54"/>
        <v>3.9149788392127224E-2</v>
      </c>
      <c r="M165" s="11">
        <f t="shared" si="55"/>
        <v>0.70454545454545459</v>
      </c>
      <c r="N165" s="11">
        <f t="shared" si="56"/>
        <v>0.53339061042089742</v>
      </c>
      <c r="O165" s="11">
        <f t="shared" si="57"/>
        <v>0</v>
      </c>
      <c r="P165" s="11">
        <f t="shared" si="58"/>
        <v>0</v>
      </c>
      <c r="Q165" s="20">
        <f t="shared" si="59"/>
        <v>0.57254039881302465</v>
      </c>
      <c r="R165" s="20">
        <f t="shared" si="60"/>
        <v>0.99999999999999989</v>
      </c>
      <c r="S165" s="5">
        <f t="shared" si="47"/>
        <v>306.8112051613943</v>
      </c>
      <c r="T165" s="5">
        <f>S165*'Gas Calculations'!LSLT</f>
        <v>276.1300846452549</v>
      </c>
      <c r="U165" s="5">
        <f>U164</f>
        <v>304.80904536979625</v>
      </c>
      <c r="V165" s="5">
        <f>V164</f>
        <v>274.32814083281664</v>
      </c>
      <c r="W165" s="62">
        <f t="shared" si="61"/>
        <v>0.86570247933884303</v>
      </c>
    </row>
    <row r="166" spans="2:23" x14ac:dyDescent="0.35">
      <c r="B166">
        <v>145</v>
      </c>
      <c r="C166" s="16" t="str">
        <f t="shared" si="46"/>
        <v>Tue</v>
      </c>
      <c r="D166" s="12">
        <v>44796</v>
      </c>
      <c r="E166">
        <f t="shared" si="62"/>
        <v>38</v>
      </c>
      <c r="F166" s="61">
        <f t="shared" si="48"/>
        <v>242</v>
      </c>
      <c r="G166" s="61">
        <f t="shared" si="49"/>
        <v>51</v>
      </c>
      <c r="H166" s="61">
        <f t="shared" si="50"/>
        <v>145</v>
      </c>
      <c r="I166" s="61">
        <f t="shared" si="51"/>
        <v>96</v>
      </c>
      <c r="J166" s="61">
        <f t="shared" si="52"/>
        <v>0</v>
      </c>
      <c r="K166" s="11">
        <f t="shared" si="53"/>
        <v>0.15702479338842976</v>
      </c>
      <c r="L166" s="11">
        <f t="shared" si="54"/>
        <v>3.8145947664123964E-2</v>
      </c>
      <c r="M166" s="11">
        <f t="shared" si="55"/>
        <v>0.70867768595041325</v>
      </c>
      <c r="N166" s="11">
        <f t="shared" si="56"/>
        <v>0.53651900109785289</v>
      </c>
      <c r="O166" s="11">
        <f t="shared" si="57"/>
        <v>0</v>
      </c>
      <c r="P166" s="11">
        <f t="shared" si="58"/>
        <v>0</v>
      </c>
      <c r="Q166" s="20">
        <f t="shared" si="59"/>
        <v>0.57466494876197682</v>
      </c>
      <c r="R166" s="20">
        <f t="shared" si="60"/>
        <v>1</v>
      </c>
      <c r="S166" s="5">
        <f t="shared" si="47"/>
        <v>307.20215222299584</v>
      </c>
      <c r="T166" s="5">
        <f>S166*'Gas Calculations'!LSLT</f>
        <v>276.48193700069623</v>
      </c>
      <c r="U166" s="5">
        <f>U164</f>
        <v>304.80904536979625</v>
      </c>
      <c r="V166" s="5">
        <f>V164</f>
        <v>274.32814083281664</v>
      </c>
      <c r="W166" s="62">
        <f t="shared" si="61"/>
        <v>0.86570247933884303</v>
      </c>
    </row>
    <row r="167" spans="2:23" x14ac:dyDescent="0.35">
      <c r="B167">
        <v>146</v>
      </c>
      <c r="C167" s="16" t="str">
        <f t="shared" si="46"/>
        <v>Wed</v>
      </c>
      <c r="D167" s="12">
        <v>44797</v>
      </c>
      <c r="E167">
        <f t="shared" si="62"/>
        <v>37</v>
      </c>
      <c r="F167" s="61">
        <f t="shared" si="48"/>
        <v>242</v>
      </c>
      <c r="G167" s="61">
        <f t="shared" si="49"/>
        <v>51</v>
      </c>
      <c r="H167" s="61">
        <f t="shared" si="50"/>
        <v>146</v>
      </c>
      <c r="I167" s="61">
        <f t="shared" si="51"/>
        <v>97</v>
      </c>
      <c r="J167" s="61">
        <f t="shared" si="52"/>
        <v>0</v>
      </c>
      <c r="K167" s="11">
        <f t="shared" si="53"/>
        <v>0.15289256198347106</v>
      </c>
      <c r="L167" s="11">
        <f t="shared" si="54"/>
        <v>3.7142106936120703E-2</v>
      </c>
      <c r="M167" s="11">
        <f t="shared" si="55"/>
        <v>0.71280991735537191</v>
      </c>
      <c r="N167" s="11">
        <f t="shared" si="56"/>
        <v>0.53964739177480825</v>
      </c>
      <c r="O167" s="11">
        <f t="shared" si="57"/>
        <v>0</v>
      </c>
      <c r="P167" s="11">
        <f t="shared" si="58"/>
        <v>0</v>
      </c>
      <c r="Q167" s="20">
        <f t="shared" si="59"/>
        <v>0.57678949871092899</v>
      </c>
      <c r="R167" s="20">
        <f t="shared" si="60"/>
        <v>0.99999999999999989</v>
      </c>
      <c r="S167" s="5">
        <f t="shared" si="47"/>
        <v>307.59021925102638</v>
      </c>
      <c r="T167" s="5">
        <f>S167*'Gas Calculations'!LSLT</f>
        <v>276.83119732592377</v>
      </c>
      <c r="U167" s="5">
        <f>U164</f>
        <v>304.80904536979625</v>
      </c>
      <c r="V167" s="5">
        <f>V164</f>
        <v>274.32814083281664</v>
      </c>
      <c r="W167" s="62">
        <f t="shared" si="61"/>
        <v>0.86570247933884303</v>
      </c>
    </row>
    <row r="168" spans="2:23" x14ac:dyDescent="0.35">
      <c r="B168">
        <v>147</v>
      </c>
      <c r="C168" s="16" t="str">
        <f t="shared" si="46"/>
        <v>Thu</v>
      </c>
      <c r="D168" s="12">
        <v>44798</v>
      </c>
      <c r="E168">
        <f t="shared" si="62"/>
        <v>36</v>
      </c>
      <c r="F168" s="61">
        <f t="shared" si="48"/>
        <v>242</v>
      </c>
      <c r="G168" s="61">
        <f t="shared" si="49"/>
        <v>51</v>
      </c>
      <c r="H168" s="61">
        <f t="shared" si="50"/>
        <v>147</v>
      </c>
      <c r="I168" s="61">
        <f t="shared" si="51"/>
        <v>98</v>
      </c>
      <c r="J168" s="61">
        <f t="shared" si="52"/>
        <v>0</v>
      </c>
      <c r="K168" s="11">
        <f t="shared" si="53"/>
        <v>0.1487603305785124</v>
      </c>
      <c r="L168" s="11">
        <f t="shared" si="54"/>
        <v>3.6138266208117442E-2</v>
      </c>
      <c r="M168" s="11">
        <f t="shared" si="55"/>
        <v>0.71694214876033058</v>
      </c>
      <c r="N168" s="11">
        <f t="shared" si="56"/>
        <v>0.54277578245176361</v>
      </c>
      <c r="O168" s="11">
        <f t="shared" si="57"/>
        <v>0</v>
      </c>
      <c r="P168" s="11">
        <f t="shared" si="58"/>
        <v>0</v>
      </c>
      <c r="Q168" s="20">
        <f t="shared" si="59"/>
        <v>0.57891404865988105</v>
      </c>
      <c r="R168" s="20">
        <f t="shared" si="60"/>
        <v>1</v>
      </c>
      <c r="S168" s="5">
        <f t="shared" si="47"/>
        <v>307.97543795369177</v>
      </c>
      <c r="T168" s="5">
        <f>S168*'Gas Calculations'!LSLT</f>
        <v>277.1778941583226</v>
      </c>
      <c r="U168" s="5">
        <f>U164</f>
        <v>304.80904536979625</v>
      </c>
      <c r="V168" s="5">
        <f>V164</f>
        <v>274.32814083281664</v>
      </c>
      <c r="W168" s="62">
        <f t="shared" si="61"/>
        <v>0.86570247933884303</v>
      </c>
    </row>
    <row r="169" spans="2:23" x14ac:dyDescent="0.35">
      <c r="B169">
        <v>148</v>
      </c>
      <c r="C169" s="16" t="str">
        <f t="shared" si="46"/>
        <v>Fri</v>
      </c>
      <c r="D169" s="12">
        <v>44799</v>
      </c>
      <c r="E169">
        <f t="shared" si="62"/>
        <v>35</v>
      </c>
      <c r="F169" s="61">
        <f t="shared" si="48"/>
        <v>242</v>
      </c>
      <c r="G169" s="61">
        <f t="shared" si="49"/>
        <v>51</v>
      </c>
      <c r="H169" s="61">
        <f t="shared" si="50"/>
        <v>148</v>
      </c>
      <c r="I169" s="61">
        <f t="shared" si="51"/>
        <v>99</v>
      </c>
      <c r="J169" s="61">
        <f t="shared" si="52"/>
        <v>0</v>
      </c>
      <c r="K169" s="11">
        <f t="shared" si="53"/>
        <v>0.14462809917355371</v>
      </c>
      <c r="L169" s="11">
        <f t="shared" si="54"/>
        <v>3.5134425480114174E-2</v>
      </c>
      <c r="M169" s="11">
        <f t="shared" si="55"/>
        <v>0.72107438016528924</v>
      </c>
      <c r="N169" s="11">
        <f t="shared" si="56"/>
        <v>0.54590417312871908</v>
      </c>
      <c r="O169" s="11">
        <f t="shared" si="57"/>
        <v>0</v>
      </c>
      <c r="P169" s="11">
        <f t="shared" si="58"/>
        <v>0</v>
      </c>
      <c r="Q169" s="20">
        <f t="shared" si="59"/>
        <v>0.58103859860883322</v>
      </c>
      <c r="R169" s="20">
        <f t="shared" si="60"/>
        <v>1</v>
      </c>
      <c r="S169" s="5">
        <f t="shared" si="47"/>
        <v>308.35783957543663</v>
      </c>
      <c r="T169" s="5">
        <f>S169*'Gas Calculations'!LSLT</f>
        <v>277.52205561789299</v>
      </c>
      <c r="U169" s="5">
        <f>U164</f>
        <v>304.80904536979625</v>
      </c>
      <c r="V169" s="5">
        <f>V164</f>
        <v>274.32814083281664</v>
      </c>
      <c r="W169" s="62">
        <f t="shared" si="61"/>
        <v>0.86570247933884292</v>
      </c>
    </row>
    <row r="170" spans="2:23" x14ac:dyDescent="0.35">
      <c r="B170">
        <v>149</v>
      </c>
      <c r="C170" s="16" t="str">
        <f t="shared" si="46"/>
        <v>Sat</v>
      </c>
      <c r="D170" s="12">
        <v>44800</v>
      </c>
      <c r="E170">
        <f t="shared" si="62"/>
        <v>34</v>
      </c>
      <c r="F170" s="61">
        <f t="shared" si="48"/>
        <v>242</v>
      </c>
      <c r="G170" s="61">
        <f t="shared" si="49"/>
        <v>51</v>
      </c>
      <c r="H170" s="61">
        <f t="shared" si="50"/>
        <v>149</v>
      </c>
      <c r="I170" s="61">
        <f t="shared" si="51"/>
        <v>100</v>
      </c>
      <c r="J170" s="61">
        <f t="shared" si="52"/>
        <v>0</v>
      </c>
      <c r="K170" s="11">
        <f t="shared" si="53"/>
        <v>0.14049586776859505</v>
      </c>
      <c r="L170" s="11">
        <f t="shared" si="54"/>
        <v>3.4130584752110914E-2</v>
      </c>
      <c r="M170" s="11">
        <f t="shared" si="55"/>
        <v>0.72520661157024791</v>
      </c>
      <c r="N170" s="11">
        <f t="shared" si="56"/>
        <v>0.54903256380567445</v>
      </c>
      <c r="O170" s="11">
        <f t="shared" si="57"/>
        <v>0</v>
      </c>
      <c r="P170" s="11">
        <f t="shared" si="58"/>
        <v>0</v>
      </c>
      <c r="Q170" s="20">
        <f t="shared" si="59"/>
        <v>0.58316314855778539</v>
      </c>
      <c r="R170" s="20">
        <f t="shared" si="60"/>
        <v>1</v>
      </c>
      <c r="S170" s="5">
        <f t="shared" si="47"/>
        <v>308.73745490539341</v>
      </c>
      <c r="T170" s="5">
        <f>S170*'Gas Calculations'!LSLT</f>
        <v>277.8637094148541</v>
      </c>
      <c r="U170" s="5">
        <f>U164</f>
        <v>304.80904536979625</v>
      </c>
      <c r="V170" s="5">
        <f>V164</f>
        <v>274.32814083281664</v>
      </c>
      <c r="W170" s="62">
        <f t="shared" si="61"/>
        <v>0.86570247933884292</v>
      </c>
    </row>
    <row r="171" spans="2:23" x14ac:dyDescent="0.35">
      <c r="B171">
        <v>150</v>
      </c>
      <c r="C171" s="16" t="str">
        <f t="shared" si="46"/>
        <v>Sun</v>
      </c>
      <c r="D171" s="12">
        <v>44801</v>
      </c>
      <c r="E171">
        <f t="shared" si="62"/>
        <v>33</v>
      </c>
      <c r="F171" s="61">
        <f t="shared" si="48"/>
        <v>242</v>
      </c>
      <c r="G171" s="61">
        <f t="shared" si="49"/>
        <v>51</v>
      </c>
      <c r="H171" s="61">
        <f t="shared" si="50"/>
        <v>150</v>
      </c>
      <c r="I171" s="61">
        <f t="shared" si="51"/>
        <v>101</v>
      </c>
      <c r="J171" s="61">
        <f t="shared" si="52"/>
        <v>0</v>
      </c>
      <c r="K171" s="11">
        <f t="shared" si="53"/>
        <v>0.13636363636363635</v>
      </c>
      <c r="L171" s="11">
        <f t="shared" si="54"/>
        <v>3.3126744024107653E-2</v>
      </c>
      <c r="M171" s="11">
        <f t="shared" si="55"/>
        <v>0.72933884297520657</v>
      </c>
      <c r="N171" s="11">
        <f t="shared" si="56"/>
        <v>0.55216095448262992</v>
      </c>
      <c r="O171" s="11">
        <f t="shared" si="57"/>
        <v>0</v>
      </c>
      <c r="P171" s="11">
        <f t="shared" si="58"/>
        <v>0</v>
      </c>
      <c r="Q171" s="20">
        <f t="shared" si="59"/>
        <v>0.58528769850673756</v>
      </c>
      <c r="R171" s="20">
        <f t="shared" si="60"/>
        <v>1</v>
      </c>
      <c r="S171" s="5">
        <f t="shared" si="47"/>
        <v>309.11431428564572</v>
      </c>
      <c r="T171" s="5">
        <f>S171*'Gas Calculations'!LSLT</f>
        <v>278.20288285708114</v>
      </c>
      <c r="U171" s="5">
        <f>AVERAGE(S165:S169)</f>
        <v>307.58737083290896</v>
      </c>
      <c r="V171" s="5">
        <f>AVERAGE(T165:T169)</f>
        <v>276.82863374961806</v>
      </c>
      <c r="W171" s="62">
        <f t="shared" si="61"/>
        <v>0.86570247933884292</v>
      </c>
    </row>
    <row r="172" spans="2:23" x14ac:dyDescent="0.35">
      <c r="B172">
        <v>151</v>
      </c>
      <c r="C172" s="16" t="str">
        <f t="shared" si="46"/>
        <v>Mon</v>
      </c>
      <c r="D172" s="68">
        <v>44802</v>
      </c>
      <c r="E172">
        <f t="shared" si="62"/>
        <v>32</v>
      </c>
      <c r="F172" s="61">
        <f t="shared" si="48"/>
        <v>242</v>
      </c>
      <c r="G172" s="61">
        <f t="shared" si="49"/>
        <v>51</v>
      </c>
      <c r="H172" s="61">
        <f t="shared" si="50"/>
        <v>151</v>
      </c>
      <c r="I172" s="61">
        <f t="shared" si="51"/>
        <v>102</v>
      </c>
      <c r="J172" s="61">
        <f t="shared" si="52"/>
        <v>0</v>
      </c>
      <c r="K172" s="11">
        <f t="shared" si="53"/>
        <v>0.13223140495867769</v>
      </c>
      <c r="L172" s="11">
        <f t="shared" si="54"/>
        <v>3.2122903296104392E-2</v>
      </c>
      <c r="M172" s="11">
        <f t="shared" si="55"/>
        <v>0.73347107438016534</v>
      </c>
      <c r="N172" s="11">
        <f t="shared" si="56"/>
        <v>0.55528934515958539</v>
      </c>
      <c r="O172" s="11">
        <f t="shared" si="57"/>
        <v>0</v>
      </c>
      <c r="P172" s="11">
        <f t="shared" si="58"/>
        <v>0</v>
      </c>
      <c r="Q172" s="20">
        <f t="shared" si="59"/>
        <v>0.58741224845568973</v>
      </c>
      <c r="R172" s="20">
        <f t="shared" si="60"/>
        <v>1</v>
      </c>
      <c r="S172" s="5">
        <f t="shared" si="47"/>
        <v>309.48844761931264</v>
      </c>
      <c r="T172" s="5">
        <f>S172*'Gas Calculations'!LSLT</f>
        <v>278.5396028573814</v>
      </c>
      <c r="U172" s="5">
        <f>U171</f>
        <v>307.58737083290896</v>
      </c>
      <c r="V172" s="5">
        <f>V171</f>
        <v>276.82863374961806</v>
      </c>
      <c r="W172" s="62">
        <f t="shared" si="61"/>
        <v>0.86570247933884303</v>
      </c>
    </row>
    <row r="173" spans="2:23" x14ac:dyDescent="0.35">
      <c r="B173">
        <v>152</v>
      </c>
      <c r="C173" s="16" t="str">
        <f t="shared" si="46"/>
        <v>Tue</v>
      </c>
      <c r="D173" s="12">
        <v>44803</v>
      </c>
      <c r="E173">
        <f t="shared" si="62"/>
        <v>31</v>
      </c>
      <c r="F173" s="61">
        <f t="shared" si="48"/>
        <v>242</v>
      </c>
      <c r="G173" s="61">
        <f t="shared" si="49"/>
        <v>51</v>
      </c>
      <c r="H173" s="61">
        <f t="shared" si="50"/>
        <v>152</v>
      </c>
      <c r="I173" s="61">
        <f t="shared" si="51"/>
        <v>103</v>
      </c>
      <c r="J173" s="61">
        <f t="shared" si="52"/>
        <v>0</v>
      </c>
      <c r="K173" s="11">
        <f t="shared" si="53"/>
        <v>0.128099173553719</v>
      </c>
      <c r="L173" s="11">
        <f t="shared" si="54"/>
        <v>3.1119062568101128E-2</v>
      </c>
      <c r="M173" s="11">
        <f t="shared" si="55"/>
        <v>0.73760330578512401</v>
      </c>
      <c r="N173" s="11">
        <f t="shared" si="56"/>
        <v>0.55841773583654075</v>
      </c>
      <c r="O173" s="11">
        <f t="shared" si="57"/>
        <v>0</v>
      </c>
      <c r="P173" s="11">
        <f t="shared" si="58"/>
        <v>0</v>
      </c>
      <c r="Q173" s="20">
        <f t="shared" si="59"/>
        <v>0.5895367984046419</v>
      </c>
      <c r="R173" s="20">
        <f t="shared" si="60"/>
        <v>1</v>
      </c>
      <c r="S173" s="5">
        <f t="shared" si="47"/>
        <v>309.85988437845822</v>
      </c>
      <c r="T173" s="5">
        <f>S173*'Gas Calculations'!LSLT</f>
        <v>278.87389594061239</v>
      </c>
      <c r="U173" s="5">
        <f>U171</f>
        <v>307.58737083290896</v>
      </c>
      <c r="V173" s="5">
        <f>V171</f>
        <v>276.82863374961806</v>
      </c>
      <c r="W173" s="62">
        <f t="shared" si="61"/>
        <v>0.86570247933884303</v>
      </c>
    </row>
    <row r="174" spans="2:23" x14ac:dyDescent="0.35">
      <c r="B174">
        <v>153</v>
      </c>
      <c r="C174" s="16" t="str">
        <f t="shared" si="46"/>
        <v>Wed</v>
      </c>
      <c r="D174" s="12">
        <v>44804</v>
      </c>
      <c r="E174">
        <f t="shared" si="62"/>
        <v>30</v>
      </c>
      <c r="F174" s="61">
        <f t="shared" si="48"/>
        <v>242</v>
      </c>
      <c r="G174" s="61">
        <f t="shared" si="49"/>
        <v>51</v>
      </c>
      <c r="H174" s="61">
        <f t="shared" si="50"/>
        <v>153</v>
      </c>
      <c r="I174" s="61">
        <f t="shared" si="51"/>
        <v>104</v>
      </c>
      <c r="J174" s="61">
        <f t="shared" si="52"/>
        <v>0</v>
      </c>
      <c r="K174" s="11">
        <f t="shared" si="53"/>
        <v>0.12396694214876033</v>
      </c>
      <c r="L174" s="11">
        <f t="shared" si="54"/>
        <v>3.0115221840097867E-2</v>
      </c>
      <c r="M174" s="11">
        <f t="shared" si="55"/>
        <v>0.74173553719008267</v>
      </c>
      <c r="N174" s="11">
        <f t="shared" si="56"/>
        <v>0.56154612651349611</v>
      </c>
      <c r="O174" s="11">
        <f t="shared" si="57"/>
        <v>0</v>
      </c>
      <c r="P174" s="11">
        <f t="shared" si="58"/>
        <v>0</v>
      </c>
      <c r="Q174" s="20">
        <f t="shared" si="59"/>
        <v>0.59166134835359396</v>
      </c>
      <c r="R174" s="20">
        <f t="shared" si="60"/>
        <v>1</v>
      </c>
      <c r="S174" s="5">
        <f t="shared" si="47"/>
        <v>310.22865361183136</v>
      </c>
      <c r="T174" s="5">
        <f>S174*'Gas Calculations'!LSLT</f>
        <v>279.20578825064825</v>
      </c>
      <c r="U174" s="5">
        <f>U171</f>
        <v>307.58737083290896</v>
      </c>
      <c r="V174" s="5">
        <f>V171</f>
        <v>276.82863374961806</v>
      </c>
      <c r="W174" s="62">
        <f t="shared" si="61"/>
        <v>0.86570247933884303</v>
      </c>
    </row>
    <row r="175" spans="2:23" x14ac:dyDescent="0.35">
      <c r="B175">
        <v>154</v>
      </c>
      <c r="C175" s="16" t="str">
        <f t="shared" si="46"/>
        <v>Thu</v>
      </c>
      <c r="D175" s="12">
        <v>44805</v>
      </c>
      <c r="E175">
        <f t="shared" si="62"/>
        <v>29</v>
      </c>
      <c r="F175" s="61">
        <f t="shared" si="48"/>
        <v>242</v>
      </c>
      <c r="G175" s="61">
        <f t="shared" si="49"/>
        <v>51</v>
      </c>
      <c r="H175" s="61">
        <f t="shared" si="50"/>
        <v>154</v>
      </c>
      <c r="I175" s="61">
        <f t="shared" si="51"/>
        <v>105</v>
      </c>
      <c r="J175" s="61">
        <f t="shared" si="52"/>
        <v>1</v>
      </c>
      <c r="K175" s="11">
        <f t="shared" si="53"/>
        <v>0.11983471074380166</v>
      </c>
      <c r="L175" s="11">
        <f t="shared" si="54"/>
        <v>2.9111381112094607E-2</v>
      </c>
      <c r="M175" s="11">
        <f t="shared" si="55"/>
        <v>0.74173553719008267</v>
      </c>
      <c r="N175" s="11">
        <f t="shared" si="56"/>
        <v>0.56154612651349611</v>
      </c>
      <c r="O175" s="11">
        <f t="shared" si="57"/>
        <v>4.1322314049586778E-3</v>
      </c>
      <c r="P175" s="11">
        <f t="shared" si="58"/>
        <v>1.0038407280032623E-3</v>
      </c>
      <c r="Q175" s="20">
        <f t="shared" si="59"/>
        <v>0.59166134835359407</v>
      </c>
      <c r="R175" s="20">
        <f t="shared" si="60"/>
        <v>0.99999999999999978</v>
      </c>
      <c r="S175" s="5">
        <f t="shared" si="47"/>
        <v>310.47554975122847</v>
      </c>
      <c r="T175" s="5">
        <f>S175*'Gas Calculations'!LSLT</f>
        <v>279.42799477610561</v>
      </c>
      <c r="U175" s="5">
        <f>U171</f>
        <v>307.58737083290896</v>
      </c>
      <c r="V175" s="5">
        <f>V171</f>
        <v>276.82863374961806</v>
      </c>
      <c r="W175" s="62">
        <f t="shared" si="61"/>
        <v>0.86570247933884303</v>
      </c>
    </row>
    <row r="176" spans="2:23" x14ac:dyDescent="0.35">
      <c r="B176">
        <v>155</v>
      </c>
      <c r="C176" s="16" t="str">
        <f t="shared" si="46"/>
        <v>Fri</v>
      </c>
      <c r="D176" s="12">
        <v>44806</v>
      </c>
      <c r="E176">
        <f t="shared" si="62"/>
        <v>28</v>
      </c>
      <c r="F176" s="61">
        <f t="shared" si="48"/>
        <v>242</v>
      </c>
      <c r="G176" s="61">
        <f t="shared" si="49"/>
        <v>51</v>
      </c>
      <c r="H176" s="61">
        <f t="shared" si="50"/>
        <v>155</v>
      </c>
      <c r="I176" s="61">
        <f t="shared" si="51"/>
        <v>106</v>
      </c>
      <c r="J176" s="61">
        <f t="shared" si="52"/>
        <v>2</v>
      </c>
      <c r="K176" s="11">
        <f t="shared" si="53"/>
        <v>0.11570247933884298</v>
      </c>
      <c r="L176" s="11">
        <f t="shared" si="54"/>
        <v>2.8107540384091342E-2</v>
      </c>
      <c r="M176" s="11">
        <f t="shared" si="55"/>
        <v>0.74173553719008267</v>
      </c>
      <c r="N176" s="11">
        <f t="shared" si="56"/>
        <v>0.56154612651349611</v>
      </c>
      <c r="O176" s="11">
        <f t="shared" si="57"/>
        <v>8.2644628099173556E-3</v>
      </c>
      <c r="P176" s="11">
        <f t="shared" si="58"/>
        <v>2.0076814560065245E-3</v>
      </c>
      <c r="Q176" s="20">
        <f t="shared" si="59"/>
        <v>0.59166134835359396</v>
      </c>
      <c r="R176" s="20">
        <f t="shared" si="60"/>
        <v>1</v>
      </c>
      <c r="S176" s="5">
        <f t="shared" si="47"/>
        <v>310.72244589062575</v>
      </c>
      <c r="T176" s="5">
        <f>S176*'Gas Calculations'!LSLT</f>
        <v>279.65020130156319</v>
      </c>
      <c r="U176" s="5">
        <f>U171</f>
        <v>307.58737083290896</v>
      </c>
      <c r="V176" s="5">
        <f>V171</f>
        <v>276.82863374961806</v>
      </c>
      <c r="W176" s="62">
        <f t="shared" si="61"/>
        <v>0.86570247933884303</v>
      </c>
    </row>
    <row r="177" spans="2:23" x14ac:dyDescent="0.35">
      <c r="B177">
        <v>156</v>
      </c>
      <c r="C177" s="16" t="str">
        <f t="shared" si="46"/>
        <v>Sat</v>
      </c>
      <c r="D177" s="12">
        <v>44807</v>
      </c>
      <c r="E177">
        <f t="shared" si="62"/>
        <v>27</v>
      </c>
      <c r="F177" s="61">
        <f t="shared" si="48"/>
        <v>242</v>
      </c>
      <c r="G177" s="61">
        <f t="shared" si="49"/>
        <v>51</v>
      </c>
      <c r="H177" s="61">
        <f t="shared" si="50"/>
        <v>156</v>
      </c>
      <c r="I177" s="61">
        <f t="shared" si="51"/>
        <v>107</v>
      </c>
      <c r="J177" s="61">
        <f t="shared" si="52"/>
        <v>3</v>
      </c>
      <c r="K177" s="11">
        <f t="shared" si="53"/>
        <v>0.1115702479338843</v>
      </c>
      <c r="L177" s="11">
        <f t="shared" si="54"/>
        <v>2.7103699656088082E-2</v>
      </c>
      <c r="M177" s="11">
        <f t="shared" si="55"/>
        <v>0.74173553719008267</v>
      </c>
      <c r="N177" s="11">
        <f t="shared" si="56"/>
        <v>0.56154612651349611</v>
      </c>
      <c r="O177" s="11">
        <f t="shared" si="57"/>
        <v>1.2396694214876033E-2</v>
      </c>
      <c r="P177" s="11">
        <f t="shared" si="58"/>
        <v>3.011522184009787E-3</v>
      </c>
      <c r="Q177" s="20">
        <f t="shared" si="59"/>
        <v>0.59166134835359396</v>
      </c>
      <c r="R177" s="20">
        <f t="shared" si="60"/>
        <v>1</v>
      </c>
      <c r="S177" s="5">
        <f t="shared" si="47"/>
        <v>310.96934203002291</v>
      </c>
      <c r="T177" s="5">
        <f>S177*'Gas Calculations'!LSLT</f>
        <v>279.87240782702065</v>
      </c>
      <c r="U177" s="5">
        <f>U171</f>
        <v>307.58737083290896</v>
      </c>
      <c r="V177" s="5">
        <f>V171</f>
        <v>276.82863374961806</v>
      </c>
      <c r="W177" s="62">
        <f t="shared" si="61"/>
        <v>0.86570247933884292</v>
      </c>
    </row>
    <row r="178" spans="2:23" x14ac:dyDescent="0.35">
      <c r="B178">
        <v>157</v>
      </c>
      <c r="C178" s="16" t="str">
        <f t="shared" si="46"/>
        <v>Sun</v>
      </c>
      <c r="D178" s="12">
        <v>44808</v>
      </c>
      <c r="E178">
        <f t="shared" si="62"/>
        <v>26</v>
      </c>
      <c r="F178" s="61">
        <f t="shared" si="48"/>
        <v>242</v>
      </c>
      <c r="G178" s="61">
        <f t="shared" si="49"/>
        <v>51</v>
      </c>
      <c r="H178" s="61">
        <f t="shared" si="50"/>
        <v>157</v>
      </c>
      <c r="I178" s="61">
        <f t="shared" si="51"/>
        <v>108</v>
      </c>
      <c r="J178" s="61">
        <f t="shared" si="52"/>
        <v>4</v>
      </c>
      <c r="K178" s="11">
        <f t="shared" si="53"/>
        <v>0.10743801652892562</v>
      </c>
      <c r="L178" s="11">
        <f t="shared" si="54"/>
        <v>2.6099858928084817E-2</v>
      </c>
      <c r="M178" s="11">
        <f t="shared" si="55"/>
        <v>0.74173553719008267</v>
      </c>
      <c r="N178" s="11">
        <f t="shared" si="56"/>
        <v>0.56154612651349611</v>
      </c>
      <c r="O178" s="11">
        <f t="shared" si="57"/>
        <v>1.6528925619834711E-2</v>
      </c>
      <c r="P178" s="11">
        <f t="shared" si="58"/>
        <v>4.015362912013049E-3</v>
      </c>
      <c r="Q178" s="20">
        <f t="shared" si="59"/>
        <v>0.59166134835359407</v>
      </c>
      <c r="R178" s="20">
        <f t="shared" si="60"/>
        <v>0.99999999999999978</v>
      </c>
      <c r="S178" s="5">
        <f t="shared" si="47"/>
        <v>311.21623816942002</v>
      </c>
      <c r="T178" s="5">
        <f>S178*'Gas Calculations'!LSLT</f>
        <v>280.094614352478</v>
      </c>
      <c r="U178" s="5">
        <f>AVERAGE(S173:S176)</f>
        <v>310.32163340803595</v>
      </c>
      <c r="V178" s="5">
        <f>AVERAGE(T173:T176)</f>
        <v>279.28947006723234</v>
      </c>
      <c r="W178" s="62">
        <f t="shared" si="61"/>
        <v>0.86570247933884303</v>
      </c>
    </row>
    <row r="179" spans="2:23" x14ac:dyDescent="0.35">
      <c r="B179">
        <v>158</v>
      </c>
      <c r="C179" s="16" t="str">
        <f t="shared" si="46"/>
        <v>Mon</v>
      </c>
      <c r="D179" s="12">
        <v>44809</v>
      </c>
      <c r="E179">
        <f t="shared" si="62"/>
        <v>25</v>
      </c>
      <c r="F179" s="61">
        <f t="shared" si="48"/>
        <v>242</v>
      </c>
      <c r="G179" s="61">
        <f t="shared" si="49"/>
        <v>51</v>
      </c>
      <c r="H179" s="61">
        <f t="shared" si="50"/>
        <v>158</v>
      </c>
      <c r="I179" s="61">
        <f t="shared" si="51"/>
        <v>109</v>
      </c>
      <c r="J179" s="61">
        <f t="shared" si="52"/>
        <v>5</v>
      </c>
      <c r="K179" s="11">
        <f t="shared" si="53"/>
        <v>0.10330578512396695</v>
      </c>
      <c r="L179" s="11">
        <f t="shared" si="54"/>
        <v>2.5096018200081557E-2</v>
      </c>
      <c r="M179" s="11">
        <f t="shared" si="55"/>
        <v>0.74173553719008267</v>
      </c>
      <c r="N179" s="11">
        <f t="shared" si="56"/>
        <v>0.56154612651349611</v>
      </c>
      <c r="O179" s="11">
        <f t="shared" si="57"/>
        <v>2.0661157024793389E-2</v>
      </c>
      <c r="P179" s="11">
        <f t="shared" si="58"/>
        <v>5.0192036400163115E-3</v>
      </c>
      <c r="Q179" s="20">
        <f t="shared" si="59"/>
        <v>0.59166134835359396</v>
      </c>
      <c r="R179" s="20">
        <f t="shared" si="60"/>
        <v>1</v>
      </c>
      <c r="S179" s="5">
        <f t="shared" si="47"/>
        <v>311.46313430881725</v>
      </c>
      <c r="T179" s="5">
        <f>S179*'Gas Calculations'!LSLT</f>
        <v>280.31682087793553</v>
      </c>
      <c r="U179" s="5">
        <f>U178</f>
        <v>310.32163340803595</v>
      </c>
      <c r="V179" s="5">
        <f>V178</f>
        <v>279.28947006723234</v>
      </c>
      <c r="W179" s="62">
        <f t="shared" si="61"/>
        <v>0.86570247933884303</v>
      </c>
    </row>
    <row r="180" spans="2:23" x14ac:dyDescent="0.35">
      <c r="B180">
        <v>159</v>
      </c>
      <c r="C180" s="16" t="str">
        <f t="shared" si="46"/>
        <v>Tue</v>
      </c>
      <c r="D180" s="12">
        <v>44810</v>
      </c>
      <c r="E180">
        <f t="shared" si="62"/>
        <v>24</v>
      </c>
      <c r="F180" s="61">
        <f t="shared" si="48"/>
        <v>242</v>
      </c>
      <c r="G180" s="61">
        <f t="shared" si="49"/>
        <v>51</v>
      </c>
      <c r="H180" s="61">
        <f t="shared" si="50"/>
        <v>159</v>
      </c>
      <c r="I180" s="61">
        <f t="shared" si="51"/>
        <v>110</v>
      </c>
      <c r="J180" s="61">
        <f t="shared" si="52"/>
        <v>6</v>
      </c>
      <c r="K180" s="11">
        <f t="shared" si="53"/>
        <v>9.9173553719008267E-2</v>
      </c>
      <c r="L180" s="11">
        <f t="shared" si="54"/>
        <v>2.4092177472078296E-2</v>
      </c>
      <c r="M180" s="11">
        <f t="shared" si="55"/>
        <v>0.74173553719008267</v>
      </c>
      <c r="N180" s="11">
        <f t="shared" si="56"/>
        <v>0.56154612651349611</v>
      </c>
      <c r="O180" s="11">
        <f t="shared" si="57"/>
        <v>2.4793388429752067E-2</v>
      </c>
      <c r="P180" s="11">
        <f t="shared" si="58"/>
        <v>6.023044368019574E-3</v>
      </c>
      <c r="Q180" s="20">
        <f t="shared" si="59"/>
        <v>0.59166134835359396</v>
      </c>
      <c r="R180" s="20">
        <f t="shared" si="60"/>
        <v>1</v>
      </c>
      <c r="S180" s="5">
        <f t="shared" si="47"/>
        <v>311.71003044821447</v>
      </c>
      <c r="T180" s="5">
        <f>S180*'Gas Calculations'!LSLT</f>
        <v>280.53902740339305</v>
      </c>
      <c r="U180" s="5">
        <f>U178</f>
        <v>310.32163340803595</v>
      </c>
      <c r="V180" s="5">
        <f>V178</f>
        <v>279.28947006723234</v>
      </c>
      <c r="W180" s="62">
        <f t="shared" si="61"/>
        <v>0.86570247933884303</v>
      </c>
    </row>
    <row r="181" spans="2:23" x14ac:dyDescent="0.35">
      <c r="B181">
        <v>160</v>
      </c>
      <c r="C181" s="16" t="str">
        <f t="shared" si="46"/>
        <v>Wed</v>
      </c>
      <c r="D181" s="12">
        <v>44811</v>
      </c>
      <c r="E181">
        <f t="shared" si="62"/>
        <v>23</v>
      </c>
      <c r="F181" s="61">
        <f t="shared" si="48"/>
        <v>242</v>
      </c>
      <c r="G181" s="61">
        <f t="shared" si="49"/>
        <v>51</v>
      </c>
      <c r="H181" s="61">
        <f t="shared" si="50"/>
        <v>160</v>
      </c>
      <c r="I181" s="61">
        <f t="shared" si="51"/>
        <v>111</v>
      </c>
      <c r="J181" s="61">
        <f t="shared" si="52"/>
        <v>7</v>
      </c>
      <c r="K181" s="11">
        <f t="shared" si="53"/>
        <v>9.5041322314049589E-2</v>
      </c>
      <c r="L181" s="11">
        <f t="shared" si="54"/>
        <v>2.3088336744075032E-2</v>
      </c>
      <c r="M181" s="11">
        <f t="shared" si="55"/>
        <v>0.74173553719008267</v>
      </c>
      <c r="N181" s="11">
        <f t="shared" si="56"/>
        <v>0.56154612651349611</v>
      </c>
      <c r="O181" s="11">
        <f t="shared" si="57"/>
        <v>2.8925619834710745E-2</v>
      </c>
      <c r="P181" s="11">
        <f t="shared" si="58"/>
        <v>7.0268850960228356E-3</v>
      </c>
      <c r="Q181" s="20">
        <f t="shared" si="59"/>
        <v>0.59166134835359396</v>
      </c>
      <c r="R181" s="20">
        <f t="shared" si="60"/>
        <v>1</v>
      </c>
      <c r="S181" s="5">
        <f t="shared" si="47"/>
        <v>311.95692658761163</v>
      </c>
      <c r="T181" s="5">
        <f>S181*'Gas Calculations'!LSLT</f>
        <v>280.76123392885046</v>
      </c>
      <c r="U181" s="5">
        <f>U178</f>
        <v>310.32163340803595</v>
      </c>
      <c r="V181" s="5">
        <f>V178</f>
        <v>279.28947006723234</v>
      </c>
      <c r="W181" s="62">
        <f t="shared" si="61"/>
        <v>0.86570247933884303</v>
      </c>
    </row>
    <row r="182" spans="2:23" x14ac:dyDescent="0.35">
      <c r="B182">
        <v>161</v>
      </c>
      <c r="C182" s="16" t="str">
        <f t="shared" si="46"/>
        <v>Thu</v>
      </c>
      <c r="D182" s="12">
        <v>44812</v>
      </c>
      <c r="E182">
        <f t="shared" si="62"/>
        <v>22</v>
      </c>
      <c r="F182" s="61">
        <f t="shared" si="48"/>
        <v>242</v>
      </c>
      <c r="G182" s="61">
        <f t="shared" si="49"/>
        <v>51</v>
      </c>
      <c r="H182" s="61">
        <f t="shared" si="50"/>
        <v>161</v>
      </c>
      <c r="I182" s="61">
        <f t="shared" si="51"/>
        <v>112</v>
      </c>
      <c r="J182" s="61">
        <f t="shared" si="52"/>
        <v>8</v>
      </c>
      <c r="K182" s="11">
        <f t="shared" si="53"/>
        <v>9.0909090909090912E-2</v>
      </c>
      <c r="L182" s="11">
        <f t="shared" si="54"/>
        <v>2.2084496016071771E-2</v>
      </c>
      <c r="M182" s="11">
        <f t="shared" si="55"/>
        <v>0.74173553719008267</v>
      </c>
      <c r="N182" s="11">
        <f t="shared" si="56"/>
        <v>0.56154612651349611</v>
      </c>
      <c r="O182" s="11">
        <f t="shared" si="57"/>
        <v>3.3057851239669422E-2</v>
      </c>
      <c r="P182" s="11">
        <f t="shared" si="58"/>
        <v>8.0307258240260981E-3</v>
      </c>
      <c r="Q182" s="20">
        <f t="shared" si="59"/>
        <v>0.59166134835359396</v>
      </c>
      <c r="R182" s="20">
        <f t="shared" si="60"/>
        <v>1</v>
      </c>
      <c r="S182" s="5">
        <f t="shared" ref="S182:S204" si="63">((PCc*L182)+(PCn*N182)+(PCn_2*P182))/(L182+N182+P182)</f>
        <v>312.20382272700886</v>
      </c>
      <c r="T182" s="5">
        <f>S182*'Gas Calculations'!LSLT</f>
        <v>280.98344045430798</v>
      </c>
      <c r="U182" s="5">
        <f>U178</f>
        <v>310.32163340803595</v>
      </c>
      <c r="V182" s="5">
        <f>V178</f>
        <v>279.28947006723234</v>
      </c>
      <c r="W182" s="62">
        <f t="shared" si="61"/>
        <v>0.86570247933884303</v>
      </c>
    </row>
    <row r="183" spans="2:23" x14ac:dyDescent="0.35">
      <c r="B183">
        <v>162</v>
      </c>
      <c r="C183" s="16" t="str">
        <f t="shared" si="46"/>
        <v>Fri</v>
      </c>
      <c r="D183" s="12">
        <v>44813</v>
      </c>
      <c r="E183">
        <f t="shared" si="62"/>
        <v>21</v>
      </c>
      <c r="F183" s="61">
        <f t="shared" si="48"/>
        <v>242</v>
      </c>
      <c r="G183" s="61">
        <f t="shared" si="49"/>
        <v>51</v>
      </c>
      <c r="H183" s="61">
        <f t="shared" si="50"/>
        <v>162</v>
      </c>
      <c r="I183" s="61">
        <f t="shared" si="51"/>
        <v>113</v>
      </c>
      <c r="J183" s="61">
        <f t="shared" si="52"/>
        <v>9</v>
      </c>
      <c r="K183" s="11">
        <f t="shared" si="53"/>
        <v>8.6776859504132234E-2</v>
      </c>
      <c r="L183" s="11">
        <f t="shared" si="54"/>
        <v>2.1080655288068507E-2</v>
      </c>
      <c r="M183" s="11">
        <f t="shared" si="55"/>
        <v>0.74173553719008267</v>
      </c>
      <c r="N183" s="11">
        <f t="shared" si="56"/>
        <v>0.56154612651349611</v>
      </c>
      <c r="O183" s="11">
        <f t="shared" si="57"/>
        <v>3.71900826446281E-2</v>
      </c>
      <c r="P183" s="11">
        <f t="shared" si="58"/>
        <v>9.0345665520293605E-3</v>
      </c>
      <c r="Q183" s="20">
        <f t="shared" si="59"/>
        <v>0.59166134835359396</v>
      </c>
      <c r="R183" s="20">
        <f t="shared" si="60"/>
        <v>1</v>
      </c>
      <c r="S183" s="5">
        <f t="shared" si="63"/>
        <v>312.45071886640602</v>
      </c>
      <c r="T183" s="5">
        <f>S183*'Gas Calculations'!LSLT</f>
        <v>281.20564697976545</v>
      </c>
      <c r="U183" s="5">
        <f>U178</f>
        <v>310.32163340803595</v>
      </c>
      <c r="V183" s="5">
        <f>V178</f>
        <v>279.28947006723234</v>
      </c>
      <c r="W183" s="62">
        <f t="shared" si="61"/>
        <v>0.86570247933884303</v>
      </c>
    </row>
    <row r="184" spans="2:23" x14ac:dyDescent="0.35">
      <c r="B184">
        <v>163</v>
      </c>
      <c r="C184" s="16" t="str">
        <f t="shared" si="46"/>
        <v>Sat</v>
      </c>
      <c r="D184" s="12">
        <v>44814</v>
      </c>
      <c r="E184">
        <f t="shared" si="62"/>
        <v>20</v>
      </c>
      <c r="F184" s="61">
        <f t="shared" si="48"/>
        <v>242</v>
      </c>
      <c r="G184" s="61">
        <f t="shared" si="49"/>
        <v>51</v>
      </c>
      <c r="H184" s="61">
        <f t="shared" si="50"/>
        <v>163</v>
      </c>
      <c r="I184" s="61">
        <f t="shared" si="51"/>
        <v>114</v>
      </c>
      <c r="J184" s="61">
        <f t="shared" si="52"/>
        <v>10</v>
      </c>
      <c r="K184" s="11">
        <f t="shared" si="53"/>
        <v>8.2644628099173556E-2</v>
      </c>
      <c r="L184" s="11">
        <f t="shared" si="54"/>
        <v>2.0076814560065246E-2</v>
      </c>
      <c r="M184" s="11">
        <f t="shared" si="55"/>
        <v>0.74173553719008267</v>
      </c>
      <c r="N184" s="11">
        <f t="shared" si="56"/>
        <v>0.56154612651349611</v>
      </c>
      <c r="O184" s="11">
        <f t="shared" si="57"/>
        <v>4.1322314049586778E-2</v>
      </c>
      <c r="P184" s="11">
        <f t="shared" si="58"/>
        <v>1.0038407280032623E-2</v>
      </c>
      <c r="Q184" s="20">
        <f t="shared" si="59"/>
        <v>0.59166134835359396</v>
      </c>
      <c r="R184" s="20">
        <f t="shared" si="60"/>
        <v>1</v>
      </c>
      <c r="S184" s="5">
        <f t="shared" si="63"/>
        <v>312.69761500580319</v>
      </c>
      <c r="T184" s="5">
        <f>S184*'Gas Calculations'!LSLT</f>
        <v>281.42785350522286</v>
      </c>
      <c r="U184" s="5">
        <f>U178</f>
        <v>310.32163340803595</v>
      </c>
      <c r="V184" s="5">
        <f>V178</f>
        <v>279.28947006723234</v>
      </c>
      <c r="W184" s="62">
        <f t="shared" si="61"/>
        <v>0.86570247933884292</v>
      </c>
    </row>
    <row r="185" spans="2:23" x14ac:dyDescent="0.35">
      <c r="B185">
        <v>164</v>
      </c>
      <c r="C185" s="16" t="str">
        <f t="shared" si="46"/>
        <v>Sun</v>
      </c>
      <c r="D185" s="12">
        <v>44815</v>
      </c>
      <c r="E185">
        <f t="shared" si="62"/>
        <v>19</v>
      </c>
      <c r="F185" s="61">
        <f t="shared" si="48"/>
        <v>242</v>
      </c>
      <c r="G185" s="61">
        <f t="shared" si="49"/>
        <v>51</v>
      </c>
      <c r="H185" s="61">
        <f t="shared" si="50"/>
        <v>164</v>
      </c>
      <c r="I185" s="61">
        <f t="shared" si="51"/>
        <v>115</v>
      </c>
      <c r="J185" s="61">
        <f t="shared" si="52"/>
        <v>11</v>
      </c>
      <c r="K185" s="11">
        <f t="shared" si="53"/>
        <v>7.8512396694214878E-2</v>
      </c>
      <c r="L185" s="11">
        <f t="shared" si="54"/>
        <v>1.9072973832061982E-2</v>
      </c>
      <c r="M185" s="11">
        <f t="shared" si="55"/>
        <v>0.74173553719008267</v>
      </c>
      <c r="N185" s="11">
        <f t="shared" si="56"/>
        <v>0.56154612651349611</v>
      </c>
      <c r="O185" s="11">
        <f t="shared" si="57"/>
        <v>4.5454545454545456E-2</v>
      </c>
      <c r="P185" s="11">
        <f t="shared" si="58"/>
        <v>1.1042248008035885E-2</v>
      </c>
      <c r="Q185" s="20">
        <f t="shared" si="59"/>
        <v>0.59166134835359396</v>
      </c>
      <c r="R185" s="20">
        <f t="shared" si="60"/>
        <v>1</v>
      </c>
      <c r="S185" s="5">
        <f t="shared" si="63"/>
        <v>312.94451114520035</v>
      </c>
      <c r="T185" s="5">
        <f>S185*'Gas Calculations'!LSLT</f>
        <v>281.65006003068032</v>
      </c>
      <c r="U185" s="5">
        <f>AVERAGE(S179:S183)</f>
        <v>311.95692658761163</v>
      </c>
      <c r="V185" s="5">
        <f>AVERAGE(T179:T183)</f>
        <v>280.76123392885046</v>
      </c>
      <c r="W185" s="62">
        <f t="shared" si="61"/>
        <v>0.86570247933884292</v>
      </c>
    </row>
    <row r="186" spans="2:23" x14ac:dyDescent="0.35">
      <c r="B186">
        <v>165</v>
      </c>
      <c r="C186" s="16" t="str">
        <f t="shared" si="46"/>
        <v>Mon</v>
      </c>
      <c r="D186" s="12">
        <v>44816</v>
      </c>
      <c r="E186">
        <f t="shared" si="62"/>
        <v>18</v>
      </c>
      <c r="F186" s="61">
        <f t="shared" si="48"/>
        <v>242</v>
      </c>
      <c r="G186" s="61">
        <f t="shared" si="49"/>
        <v>51</v>
      </c>
      <c r="H186" s="61">
        <f t="shared" si="50"/>
        <v>165</v>
      </c>
      <c r="I186" s="61">
        <f t="shared" si="51"/>
        <v>116</v>
      </c>
      <c r="J186" s="61">
        <f t="shared" si="52"/>
        <v>12</v>
      </c>
      <c r="K186" s="11">
        <f t="shared" si="53"/>
        <v>7.43801652892562E-2</v>
      </c>
      <c r="L186" s="11">
        <f t="shared" si="54"/>
        <v>1.8069133104058721E-2</v>
      </c>
      <c r="M186" s="11">
        <f t="shared" si="55"/>
        <v>0.74173553719008267</v>
      </c>
      <c r="N186" s="11">
        <f t="shared" si="56"/>
        <v>0.56154612651349611</v>
      </c>
      <c r="O186" s="11">
        <f t="shared" si="57"/>
        <v>4.9586776859504134E-2</v>
      </c>
      <c r="P186" s="11">
        <f t="shared" si="58"/>
        <v>1.2046088736039148E-2</v>
      </c>
      <c r="Q186" s="20">
        <f t="shared" si="59"/>
        <v>0.59166134835359396</v>
      </c>
      <c r="R186" s="20">
        <f t="shared" si="60"/>
        <v>1</v>
      </c>
      <c r="S186" s="5">
        <f t="shared" si="63"/>
        <v>313.19140728459757</v>
      </c>
      <c r="T186" s="5">
        <f>S186*'Gas Calculations'!LSLT</f>
        <v>281.87226655613784</v>
      </c>
      <c r="U186" s="5">
        <f>U185</f>
        <v>311.95692658761163</v>
      </c>
      <c r="V186" s="5">
        <f>V185</f>
        <v>280.76123392885046</v>
      </c>
      <c r="W186" s="62">
        <f t="shared" si="61"/>
        <v>0.86570247933884303</v>
      </c>
    </row>
    <row r="187" spans="2:23" x14ac:dyDescent="0.35">
      <c r="B187">
        <v>166</v>
      </c>
      <c r="C187" s="16" t="str">
        <f t="shared" si="46"/>
        <v>Tue</v>
      </c>
      <c r="D187" s="12">
        <v>44817</v>
      </c>
      <c r="E187">
        <f t="shared" si="62"/>
        <v>17</v>
      </c>
      <c r="F187" s="61">
        <f t="shared" si="48"/>
        <v>242</v>
      </c>
      <c r="G187" s="61">
        <f t="shared" si="49"/>
        <v>51</v>
      </c>
      <c r="H187" s="61">
        <f t="shared" si="50"/>
        <v>166</v>
      </c>
      <c r="I187" s="61">
        <f t="shared" si="51"/>
        <v>117</v>
      </c>
      <c r="J187" s="61">
        <f t="shared" si="52"/>
        <v>13</v>
      </c>
      <c r="K187" s="11">
        <f t="shared" si="53"/>
        <v>7.0247933884297523E-2</v>
      </c>
      <c r="L187" s="11">
        <f t="shared" si="54"/>
        <v>1.7065292376055457E-2</v>
      </c>
      <c r="M187" s="11">
        <f t="shared" si="55"/>
        <v>0.74173553719008267</v>
      </c>
      <c r="N187" s="11">
        <f t="shared" si="56"/>
        <v>0.56154612651349611</v>
      </c>
      <c r="O187" s="11">
        <f t="shared" si="57"/>
        <v>5.3719008264462811E-2</v>
      </c>
      <c r="P187" s="11">
        <f t="shared" si="58"/>
        <v>1.3049929464042409E-2</v>
      </c>
      <c r="Q187" s="20">
        <f t="shared" si="59"/>
        <v>0.59166134835359396</v>
      </c>
      <c r="R187" s="20">
        <f t="shared" si="60"/>
        <v>1</v>
      </c>
      <c r="S187" s="5">
        <f t="shared" si="63"/>
        <v>313.43830342399474</v>
      </c>
      <c r="T187" s="5">
        <f>S187*'Gas Calculations'!LSLT</f>
        <v>282.09447308159525</v>
      </c>
      <c r="U187" s="5">
        <f>U185</f>
        <v>311.95692658761163</v>
      </c>
      <c r="V187" s="5">
        <f>V185</f>
        <v>280.76123392885046</v>
      </c>
      <c r="W187" s="62">
        <f t="shared" si="61"/>
        <v>0.86570247933884303</v>
      </c>
    </row>
    <row r="188" spans="2:23" x14ac:dyDescent="0.35">
      <c r="B188">
        <v>167</v>
      </c>
      <c r="C188" s="16" t="str">
        <f t="shared" si="46"/>
        <v>Wed</v>
      </c>
      <c r="D188" s="12">
        <v>44818</v>
      </c>
      <c r="E188">
        <f t="shared" si="62"/>
        <v>16</v>
      </c>
      <c r="F188" s="61">
        <f t="shared" si="48"/>
        <v>242</v>
      </c>
      <c r="G188" s="61">
        <f t="shared" si="49"/>
        <v>51</v>
      </c>
      <c r="H188" s="61">
        <f t="shared" si="50"/>
        <v>167</v>
      </c>
      <c r="I188" s="61">
        <f t="shared" si="51"/>
        <v>118</v>
      </c>
      <c r="J188" s="61">
        <f t="shared" si="52"/>
        <v>14</v>
      </c>
      <c r="K188" s="11">
        <f t="shared" si="53"/>
        <v>6.6115702479338845E-2</v>
      </c>
      <c r="L188" s="11">
        <f t="shared" si="54"/>
        <v>1.6061451648052196E-2</v>
      </c>
      <c r="M188" s="11">
        <f t="shared" si="55"/>
        <v>0.74173553719008267</v>
      </c>
      <c r="N188" s="11">
        <f t="shared" si="56"/>
        <v>0.56154612651349611</v>
      </c>
      <c r="O188" s="11">
        <f t="shared" si="57"/>
        <v>5.7851239669421489E-2</v>
      </c>
      <c r="P188" s="11">
        <f t="shared" si="58"/>
        <v>1.4053770192045671E-2</v>
      </c>
      <c r="Q188" s="20">
        <f t="shared" si="59"/>
        <v>0.59166134835359396</v>
      </c>
      <c r="R188" s="20">
        <f t="shared" si="60"/>
        <v>1</v>
      </c>
      <c r="S188" s="5">
        <f t="shared" si="63"/>
        <v>313.68519956339196</v>
      </c>
      <c r="T188" s="5">
        <f>S188*'Gas Calculations'!LSLT</f>
        <v>282.31667960705278</v>
      </c>
      <c r="U188" s="5">
        <f>U185</f>
        <v>311.95692658761163</v>
      </c>
      <c r="V188" s="5">
        <f>V185</f>
        <v>280.76123392885046</v>
      </c>
      <c r="W188" s="62">
        <f t="shared" si="61"/>
        <v>0.86570247933884303</v>
      </c>
    </row>
    <row r="189" spans="2:23" x14ac:dyDescent="0.35">
      <c r="B189">
        <v>168</v>
      </c>
      <c r="C189" s="16" t="str">
        <f t="shared" si="46"/>
        <v>Thu</v>
      </c>
      <c r="D189" s="12">
        <v>44819</v>
      </c>
      <c r="E189">
        <f t="shared" si="62"/>
        <v>15</v>
      </c>
      <c r="F189" s="61">
        <f t="shared" si="48"/>
        <v>242</v>
      </c>
      <c r="G189" s="61">
        <f t="shared" si="49"/>
        <v>51</v>
      </c>
      <c r="H189" s="61">
        <f t="shared" si="50"/>
        <v>168</v>
      </c>
      <c r="I189" s="61">
        <f t="shared" si="51"/>
        <v>119</v>
      </c>
      <c r="J189" s="61">
        <f t="shared" si="52"/>
        <v>15</v>
      </c>
      <c r="K189" s="11">
        <f t="shared" si="53"/>
        <v>6.1983471074380167E-2</v>
      </c>
      <c r="L189" s="11">
        <f t="shared" si="54"/>
        <v>1.5057610920048934E-2</v>
      </c>
      <c r="M189" s="11">
        <f t="shared" si="55"/>
        <v>0.74173553719008267</v>
      </c>
      <c r="N189" s="11">
        <f t="shared" si="56"/>
        <v>0.56154612651349611</v>
      </c>
      <c r="O189" s="11">
        <f t="shared" si="57"/>
        <v>6.1983471074380167E-2</v>
      </c>
      <c r="P189" s="11">
        <f t="shared" si="58"/>
        <v>1.5057610920048934E-2</v>
      </c>
      <c r="Q189" s="20">
        <f t="shared" si="59"/>
        <v>0.59166134835359407</v>
      </c>
      <c r="R189" s="20">
        <f t="shared" si="60"/>
        <v>0.99999999999999989</v>
      </c>
      <c r="S189" s="5">
        <f t="shared" si="63"/>
        <v>313.93209570278907</v>
      </c>
      <c r="T189" s="5">
        <f>S189*'Gas Calculations'!LSLT</f>
        <v>282.53888613251019</v>
      </c>
      <c r="U189" s="5">
        <f>U185</f>
        <v>311.95692658761163</v>
      </c>
      <c r="V189" s="5">
        <f>V185</f>
        <v>280.76123392885046</v>
      </c>
      <c r="W189" s="62">
        <f t="shared" si="61"/>
        <v>0.86570247933884303</v>
      </c>
    </row>
    <row r="190" spans="2:23" x14ac:dyDescent="0.35">
      <c r="B190">
        <v>169</v>
      </c>
      <c r="C190" s="16" t="str">
        <f t="shared" si="46"/>
        <v>Fri</v>
      </c>
      <c r="D190" s="12">
        <v>44820</v>
      </c>
      <c r="E190">
        <f t="shared" si="62"/>
        <v>14</v>
      </c>
      <c r="F190" s="61">
        <f t="shared" si="48"/>
        <v>242</v>
      </c>
      <c r="G190" s="61">
        <f t="shared" si="49"/>
        <v>51</v>
      </c>
      <c r="H190" s="61">
        <f t="shared" si="50"/>
        <v>169</v>
      </c>
      <c r="I190" s="61">
        <f t="shared" si="51"/>
        <v>120</v>
      </c>
      <c r="J190" s="61">
        <f t="shared" si="52"/>
        <v>16</v>
      </c>
      <c r="K190" s="11">
        <f t="shared" si="53"/>
        <v>5.7851239669421489E-2</v>
      </c>
      <c r="L190" s="11">
        <f t="shared" si="54"/>
        <v>1.4053770192045671E-2</v>
      </c>
      <c r="M190" s="11">
        <f t="shared" si="55"/>
        <v>0.74173553719008267</v>
      </c>
      <c r="N190" s="11">
        <f t="shared" si="56"/>
        <v>0.56154612651349611</v>
      </c>
      <c r="O190" s="11">
        <f t="shared" si="57"/>
        <v>6.6115702479338845E-2</v>
      </c>
      <c r="P190" s="11">
        <f t="shared" si="58"/>
        <v>1.6061451648052196E-2</v>
      </c>
      <c r="Q190" s="20">
        <f t="shared" si="59"/>
        <v>0.59166134835359396</v>
      </c>
      <c r="R190" s="20">
        <f t="shared" si="60"/>
        <v>1</v>
      </c>
      <c r="S190" s="5">
        <f t="shared" si="63"/>
        <v>314.17899184218629</v>
      </c>
      <c r="T190" s="5">
        <f>S190*'Gas Calculations'!LSLT</f>
        <v>282.76109265796765</v>
      </c>
      <c r="U190" s="5">
        <f>U185</f>
        <v>311.95692658761163</v>
      </c>
      <c r="V190" s="5">
        <f>V185</f>
        <v>280.76123392885046</v>
      </c>
      <c r="W190" s="62">
        <f t="shared" si="61"/>
        <v>0.86570247933884303</v>
      </c>
    </row>
    <row r="191" spans="2:23" x14ac:dyDescent="0.35">
      <c r="B191">
        <v>170</v>
      </c>
      <c r="C191" s="16" t="str">
        <f t="shared" si="46"/>
        <v>Sat</v>
      </c>
      <c r="D191" s="12">
        <v>44821</v>
      </c>
      <c r="E191">
        <f t="shared" si="62"/>
        <v>13</v>
      </c>
      <c r="F191" s="61">
        <f t="shared" si="48"/>
        <v>242</v>
      </c>
      <c r="G191" s="61">
        <f t="shared" si="49"/>
        <v>51</v>
      </c>
      <c r="H191" s="61">
        <f t="shared" si="50"/>
        <v>170</v>
      </c>
      <c r="I191" s="61">
        <f t="shared" si="51"/>
        <v>121</v>
      </c>
      <c r="J191" s="61">
        <f t="shared" si="52"/>
        <v>17</v>
      </c>
      <c r="K191" s="11">
        <f t="shared" si="53"/>
        <v>5.3719008264462811E-2</v>
      </c>
      <c r="L191" s="11">
        <f t="shared" si="54"/>
        <v>1.3049929464042409E-2</v>
      </c>
      <c r="M191" s="11">
        <f t="shared" si="55"/>
        <v>0.74173553719008267</v>
      </c>
      <c r="N191" s="11">
        <f t="shared" si="56"/>
        <v>0.56154612651349611</v>
      </c>
      <c r="O191" s="11">
        <f t="shared" si="57"/>
        <v>7.0247933884297523E-2</v>
      </c>
      <c r="P191" s="11">
        <f t="shared" si="58"/>
        <v>1.7065292376055457E-2</v>
      </c>
      <c r="Q191" s="20">
        <f t="shared" si="59"/>
        <v>0.59166134835359396</v>
      </c>
      <c r="R191" s="20">
        <f t="shared" si="60"/>
        <v>1</v>
      </c>
      <c r="S191" s="5">
        <f t="shared" si="63"/>
        <v>314.42588798158346</v>
      </c>
      <c r="T191" s="5">
        <f>S191*'Gas Calculations'!LSLT</f>
        <v>282.98329918342512</v>
      </c>
      <c r="U191" s="5">
        <f>U185</f>
        <v>311.95692658761163</v>
      </c>
      <c r="V191" s="5">
        <f>V185</f>
        <v>280.76123392885046</v>
      </c>
      <c r="W191" s="62">
        <f t="shared" si="61"/>
        <v>0.86570247933884303</v>
      </c>
    </row>
    <row r="192" spans="2:23" x14ac:dyDescent="0.35">
      <c r="B192">
        <v>171</v>
      </c>
      <c r="C192" s="16" t="str">
        <f t="shared" si="46"/>
        <v>Sun</v>
      </c>
      <c r="D192" s="12">
        <v>44822</v>
      </c>
      <c r="E192">
        <f t="shared" si="62"/>
        <v>12</v>
      </c>
      <c r="F192" s="61">
        <f t="shared" si="48"/>
        <v>242</v>
      </c>
      <c r="G192" s="61">
        <f t="shared" si="49"/>
        <v>51</v>
      </c>
      <c r="H192" s="61">
        <f t="shared" si="50"/>
        <v>171</v>
      </c>
      <c r="I192" s="61">
        <f t="shared" si="51"/>
        <v>122</v>
      </c>
      <c r="J192" s="61">
        <f t="shared" si="52"/>
        <v>18</v>
      </c>
      <c r="K192" s="11">
        <f t="shared" si="53"/>
        <v>4.9586776859504134E-2</v>
      </c>
      <c r="L192" s="11">
        <f t="shared" si="54"/>
        <v>1.2046088736039148E-2</v>
      </c>
      <c r="M192" s="11">
        <f t="shared" si="55"/>
        <v>0.74173553719008267</v>
      </c>
      <c r="N192" s="11">
        <f t="shared" si="56"/>
        <v>0.56154612651349611</v>
      </c>
      <c r="O192" s="11">
        <f t="shared" si="57"/>
        <v>7.43801652892562E-2</v>
      </c>
      <c r="P192" s="11">
        <f t="shared" si="58"/>
        <v>1.8069133104058721E-2</v>
      </c>
      <c r="Q192" s="20">
        <f t="shared" si="59"/>
        <v>0.59166134835359396</v>
      </c>
      <c r="R192" s="20">
        <f t="shared" si="60"/>
        <v>1</v>
      </c>
      <c r="S192" s="5">
        <f t="shared" si="63"/>
        <v>314.67278412098068</v>
      </c>
      <c r="T192" s="5">
        <f>S192*'Gas Calculations'!LSLT</f>
        <v>283.20550570888264</v>
      </c>
      <c r="U192" s="5">
        <f>AVERAGE(S186:S190)</f>
        <v>313.68519956339196</v>
      </c>
      <c r="V192" s="5">
        <f>AVERAGE(T186:T190)</f>
        <v>282.31667960705272</v>
      </c>
      <c r="W192" s="62">
        <f t="shared" si="61"/>
        <v>0.86570247933884303</v>
      </c>
    </row>
    <row r="193" spans="2:23" x14ac:dyDescent="0.35">
      <c r="B193">
        <v>172</v>
      </c>
      <c r="C193" s="16" t="str">
        <f t="shared" si="46"/>
        <v>Mon</v>
      </c>
      <c r="D193" s="12">
        <v>44823</v>
      </c>
      <c r="E193">
        <f t="shared" si="62"/>
        <v>11</v>
      </c>
      <c r="F193" s="61">
        <f t="shared" si="48"/>
        <v>242</v>
      </c>
      <c r="G193" s="61">
        <f t="shared" si="49"/>
        <v>51</v>
      </c>
      <c r="H193" s="61">
        <f t="shared" si="50"/>
        <v>172</v>
      </c>
      <c r="I193" s="61">
        <f t="shared" si="51"/>
        <v>123</v>
      </c>
      <c r="J193" s="61">
        <f t="shared" si="52"/>
        <v>19</v>
      </c>
      <c r="K193" s="11">
        <f t="shared" si="53"/>
        <v>4.5454545454545456E-2</v>
      </c>
      <c r="L193" s="11">
        <f t="shared" si="54"/>
        <v>1.1042248008035885E-2</v>
      </c>
      <c r="M193" s="11">
        <f t="shared" si="55"/>
        <v>0.74173553719008267</v>
      </c>
      <c r="N193" s="11">
        <f t="shared" si="56"/>
        <v>0.56154612651349611</v>
      </c>
      <c r="O193" s="11">
        <f t="shared" si="57"/>
        <v>7.8512396694214878E-2</v>
      </c>
      <c r="P193" s="11">
        <f t="shared" si="58"/>
        <v>1.9072973832061982E-2</v>
      </c>
      <c r="Q193" s="20">
        <f t="shared" si="59"/>
        <v>0.59166134835359396</v>
      </c>
      <c r="R193" s="20">
        <f t="shared" si="60"/>
        <v>1</v>
      </c>
      <c r="S193" s="5">
        <f t="shared" si="63"/>
        <v>314.91968026037785</v>
      </c>
      <c r="T193" s="5">
        <f>S193*'Gas Calculations'!LSLT</f>
        <v>283.42771223434005</v>
      </c>
      <c r="U193" s="5">
        <f>U192</f>
        <v>313.68519956339196</v>
      </c>
      <c r="V193" s="5">
        <f>V192</f>
        <v>282.31667960705272</v>
      </c>
      <c r="W193" s="62">
        <f t="shared" si="61"/>
        <v>0.86570247933884292</v>
      </c>
    </row>
    <row r="194" spans="2:23" x14ac:dyDescent="0.35">
      <c r="B194">
        <v>173</v>
      </c>
      <c r="C194" s="16" t="str">
        <f t="shared" si="46"/>
        <v>Tue</v>
      </c>
      <c r="D194" s="12">
        <v>44824</v>
      </c>
      <c r="E194">
        <f t="shared" si="62"/>
        <v>10</v>
      </c>
      <c r="F194" s="61">
        <f t="shared" si="48"/>
        <v>242</v>
      </c>
      <c r="G194" s="61">
        <f t="shared" si="49"/>
        <v>51</v>
      </c>
      <c r="H194" s="61">
        <f t="shared" si="50"/>
        <v>173</v>
      </c>
      <c r="I194" s="61">
        <f t="shared" si="51"/>
        <v>124</v>
      </c>
      <c r="J194" s="61">
        <f t="shared" si="52"/>
        <v>20</v>
      </c>
      <c r="K194" s="11">
        <f t="shared" si="53"/>
        <v>4.1322314049586778E-2</v>
      </c>
      <c r="L194" s="11">
        <f t="shared" si="54"/>
        <v>1.0038407280032623E-2</v>
      </c>
      <c r="M194" s="11">
        <f t="shared" si="55"/>
        <v>0.74173553719008267</v>
      </c>
      <c r="N194" s="11">
        <f t="shared" si="56"/>
        <v>0.56154612651349611</v>
      </c>
      <c r="O194" s="11">
        <f t="shared" si="57"/>
        <v>8.2644628099173556E-2</v>
      </c>
      <c r="P194" s="11">
        <f t="shared" si="58"/>
        <v>2.0076814560065246E-2</v>
      </c>
      <c r="Q194" s="20">
        <f t="shared" si="59"/>
        <v>0.59166134835359396</v>
      </c>
      <c r="R194" s="20">
        <f t="shared" si="60"/>
        <v>1</v>
      </c>
      <c r="S194" s="5">
        <f t="shared" si="63"/>
        <v>315.16657639977507</v>
      </c>
      <c r="T194" s="5">
        <f>S194*'Gas Calculations'!LSLT</f>
        <v>283.64991875979757</v>
      </c>
      <c r="U194" s="5">
        <f>U192</f>
        <v>313.68519956339196</v>
      </c>
      <c r="V194" s="5">
        <f>V192</f>
        <v>282.31667960705272</v>
      </c>
      <c r="W194" s="62">
        <f t="shared" si="61"/>
        <v>0.86570247933884303</v>
      </c>
    </row>
    <row r="195" spans="2:23" x14ac:dyDescent="0.35">
      <c r="B195">
        <v>174</v>
      </c>
      <c r="C195" s="16" t="str">
        <f t="shared" si="46"/>
        <v>Wed</v>
      </c>
      <c r="D195" s="12">
        <v>44825</v>
      </c>
      <c r="E195">
        <f t="shared" si="62"/>
        <v>9</v>
      </c>
      <c r="F195" s="61">
        <f t="shared" si="48"/>
        <v>242</v>
      </c>
      <c r="G195" s="61">
        <f t="shared" si="49"/>
        <v>51</v>
      </c>
      <c r="H195" s="61">
        <f t="shared" si="50"/>
        <v>174</v>
      </c>
      <c r="I195" s="61">
        <f t="shared" si="51"/>
        <v>125</v>
      </c>
      <c r="J195" s="61">
        <f t="shared" si="52"/>
        <v>21</v>
      </c>
      <c r="K195" s="11">
        <f t="shared" si="53"/>
        <v>3.71900826446281E-2</v>
      </c>
      <c r="L195" s="11">
        <f t="shared" si="54"/>
        <v>9.0345665520293605E-3</v>
      </c>
      <c r="M195" s="11">
        <f t="shared" si="55"/>
        <v>0.74173553719008267</v>
      </c>
      <c r="N195" s="11">
        <f t="shared" si="56"/>
        <v>0.56154612651349611</v>
      </c>
      <c r="O195" s="11">
        <f t="shared" si="57"/>
        <v>8.6776859504132234E-2</v>
      </c>
      <c r="P195" s="11">
        <f t="shared" si="58"/>
        <v>2.1080655288068507E-2</v>
      </c>
      <c r="Q195" s="20">
        <f t="shared" si="59"/>
        <v>0.59166134835359396</v>
      </c>
      <c r="R195" s="20">
        <f t="shared" si="60"/>
        <v>1</v>
      </c>
      <c r="S195" s="5">
        <f t="shared" si="63"/>
        <v>315.41347253917223</v>
      </c>
      <c r="T195" s="5">
        <f>S195*'Gas Calculations'!LSLT</f>
        <v>283.87212528525504</v>
      </c>
      <c r="U195" s="5">
        <f>U192</f>
        <v>313.68519956339196</v>
      </c>
      <c r="V195" s="5">
        <f>V192</f>
        <v>282.31667960705272</v>
      </c>
      <c r="W195" s="62">
        <f t="shared" si="61"/>
        <v>0.86570247933884303</v>
      </c>
    </row>
    <row r="196" spans="2:23" x14ac:dyDescent="0.35">
      <c r="B196">
        <v>175</v>
      </c>
      <c r="C196" s="16" t="str">
        <f t="shared" si="46"/>
        <v>Thu</v>
      </c>
      <c r="D196" s="12">
        <v>44826</v>
      </c>
      <c r="E196">
        <f t="shared" si="62"/>
        <v>8</v>
      </c>
      <c r="F196" s="61">
        <f t="shared" si="48"/>
        <v>242</v>
      </c>
      <c r="G196" s="61">
        <f t="shared" si="49"/>
        <v>51</v>
      </c>
      <c r="H196" s="61">
        <f t="shared" si="50"/>
        <v>175</v>
      </c>
      <c r="I196" s="61">
        <f t="shared" si="51"/>
        <v>126</v>
      </c>
      <c r="J196" s="61">
        <f t="shared" si="52"/>
        <v>22</v>
      </c>
      <c r="K196" s="11">
        <f t="shared" si="53"/>
        <v>3.3057851239669422E-2</v>
      </c>
      <c r="L196" s="11">
        <f t="shared" si="54"/>
        <v>8.0307258240260981E-3</v>
      </c>
      <c r="M196" s="11">
        <f t="shared" si="55"/>
        <v>0.74173553719008267</v>
      </c>
      <c r="N196" s="11">
        <f t="shared" si="56"/>
        <v>0.56154612651349611</v>
      </c>
      <c r="O196" s="11">
        <f t="shared" si="57"/>
        <v>9.0909090909090912E-2</v>
      </c>
      <c r="P196" s="11">
        <f t="shared" si="58"/>
        <v>2.2084496016071771E-2</v>
      </c>
      <c r="Q196" s="20">
        <f t="shared" si="59"/>
        <v>0.59166134835359396</v>
      </c>
      <c r="R196" s="20">
        <f t="shared" si="60"/>
        <v>1</v>
      </c>
      <c r="S196" s="5">
        <f t="shared" si="63"/>
        <v>315.6603686785694</v>
      </c>
      <c r="T196" s="5">
        <f>S196*'Gas Calculations'!LSLT</f>
        <v>284.09433181071245</v>
      </c>
      <c r="U196" s="5">
        <f>U192</f>
        <v>313.68519956339196</v>
      </c>
      <c r="V196" s="5">
        <f>V192</f>
        <v>282.31667960705272</v>
      </c>
      <c r="W196" s="62">
        <f t="shared" si="61"/>
        <v>0.86570247933884303</v>
      </c>
    </row>
    <row r="197" spans="2:23" x14ac:dyDescent="0.35">
      <c r="B197">
        <v>176</v>
      </c>
      <c r="C197" s="16" t="str">
        <f t="shared" si="46"/>
        <v>Fri</v>
      </c>
      <c r="D197" s="12">
        <v>44827</v>
      </c>
      <c r="E197">
        <f t="shared" si="62"/>
        <v>7</v>
      </c>
      <c r="F197" s="61">
        <f t="shared" si="48"/>
        <v>242</v>
      </c>
      <c r="G197" s="61">
        <f t="shared" si="49"/>
        <v>51</v>
      </c>
      <c r="H197" s="61">
        <f t="shared" si="50"/>
        <v>176</v>
      </c>
      <c r="I197" s="61">
        <f t="shared" si="51"/>
        <v>127</v>
      </c>
      <c r="J197" s="61">
        <f t="shared" si="52"/>
        <v>23</v>
      </c>
      <c r="K197" s="11">
        <f t="shared" si="53"/>
        <v>2.8925619834710745E-2</v>
      </c>
      <c r="L197" s="11">
        <f t="shared" si="54"/>
        <v>7.0268850960228356E-3</v>
      </c>
      <c r="M197" s="11">
        <f t="shared" si="55"/>
        <v>0.74173553719008267</v>
      </c>
      <c r="N197" s="11">
        <f t="shared" si="56"/>
        <v>0.56154612651349611</v>
      </c>
      <c r="O197" s="11">
        <f t="shared" si="57"/>
        <v>9.5041322314049589E-2</v>
      </c>
      <c r="P197" s="11">
        <f t="shared" si="58"/>
        <v>2.3088336744075032E-2</v>
      </c>
      <c r="Q197" s="20">
        <f t="shared" si="59"/>
        <v>0.59166134835359396</v>
      </c>
      <c r="R197" s="20">
        <f t="shared" si="60"/>
        <v>1</v>
      </c>
      <c r="S197" s="5">
        <f t="shared" si="63"/>
        <v>315.90726481796656</v>
      </c>
      <c r="T197" s="5">
        <f>S197*'Gas Calculations'!LSLT</f>
        <v>284.31653833616991</v>
      </c>
      <c r="U197" s="5">
        <f>U192</f>
        <v>313.68519956339196</v>
      </c>
      <c r="V197" s="5">
        <f>V192</f>
        <v>282.31667960705272</v>
      </c>
      <c r="W197" s="62">
        <f t="shared" si="61"/>
        <v>0.86570247933884303</v>
      </c>
    </row>
    <row r="198" spans="2:23" x14ac:dyDescent="0.35">
      <c r="B198">
        <v>177</v>
      </c>
      <c r="C198" s="16" t="str">
        <f t="shared" si="46"/>
        <v>Sat</v>
      </c>
      <c r="D198" s="12">
        <v>44828</v>
      </c>
      <c r="E198">
        <f t="shared" si="62"/>
        <v>6</v>
      </c>
      <c r="F198" s="61">
        <f t="shared" si="48"/>
        <v>242</v>
      </c>
      <c r="G198" s="61">
        <f t="shared" si="49"/>
        <v>51</v>
      </c>
      <c r="H198" s="61">
        <f t="shared" si="50"/>
        <v>177</v>
      </c>
      <c r="I198" s="61">
        <f t="shared" si="51"/>
        <v>128</v>
      </c>
      <c r="J198" s="61">
        <f t="shared" si="52"/>
        <v>24</v>
      </c>
      <c r="K198" s="11">
        <f t="shared" si="53"/>
        <v>2.4793388429752067E-2</v>
      </c>
      <c r="L198" s="11">
        <f t="shared" si="54"/>
        <v>6.023044368019574E-3</v>
      </c>
      <c r="M198" s="11">
        <f t="shared" si="55"/>
        <v>0.74173553719008267</v>
      </c>
      <c r="N198" s="11">
        <f t="shared" si="56"/>
        <v>0.56154612651349611</v>
      </c>
      <c r="O198" s="11">
        <f t="shared" si="57"/>
        <v>9.9173553719008267E-2</v>
      </c>
      <c r="P198" s="11">
        <f t="shared" si="58"/>
        <v>2.4092177472078296E-2</v>
      </c>
      <c r="Q198" s="20">
        <f t="shared" si="59"/>
        <v>0.59166134835359396</v>
      </c>
      <c r="R198" s="20">
        <f t="shared" si="60"/>
        <v>1</v>
      </c>
      <c r="S198" s="5">
        <f t="shared" si="63"/>
        <v>316.15416095736379</v>
      </c>
      <c r="T198" s="5">
        <f>S198*'Gas Calculations'!LSLT</f>
        <v>284.53874486162744</v>
      </c>
      <c r="U198" s="5">
        <f>U192</f>
        <v>313.68519956339196</v>
      </c>
      <c r="V198" s="5">
        <f>V192</f>
        <v>282.31667960705272</v>
      </c>
      <c r="W198" s="62">
        <f t="shared" si="61"/>
        <v>0.86570247933884303</v>
      </c>
    </row>
    <row r="199" spans="2:23" x14ac:dyDescent="0.35">
      <c r="B199">
        <v>178</v>
      </c>
      <c r="C199" s="16" t="str">
        <f t="shared" si="46"/>
        <v>Sun</v>
      </c>
      <c r="D199" s="12">
        <v>44829</v>
      </c>
      <c r="E199">
        <f t="shared" si="62"/>
        <v>5</v>
      </c>
      <c r="F199" s="61">
        <f t="shared" si="48"/>
        <v>242</v>
      </c>
      <c r="G199" s="61">
        <f t="shared" si="49"/>
        <v>51</v>
      </c>
      <c r="H199" s="61">
        <f t="shared" si="50"/>
        <v>178</v>
      </c>
      <c r="I199" s="61">
        <f t="shared" si="51"/>
        <v>129</v>
      </c>
      <c r="J199" s="61">
        <f t="shared" si="52"/>
        <v>25</v>
      </c>
      <c r="K199" s="11">
        <f t="shared" si="53"/>
        <v>2.0661157024793389E-2</v>
      </c>
      <c r="L199" s="11">
        <f t="shared" si="54"/>
        <v>5.0192036400163115E-3</v>
      </c>
      <c r="M199" s="11">
        <f t="shared" si="55"/>
        <v>0.74173553719008267</v>
      </c>
      <c r="N199" s="11">
        <f t="shared" si="56"/>
        <v>0.56154612651349611</v>
      </c>
      <c r="O199" s="11">
        <f t="shared" si="57"/>
        <v>0.10330578512396695</v>
      </c>
      <c r="P199" s="11">
        <f t="shared" si="58"/>
        <v>2.5096018200081557E-2</v>
      </c>
      <c r="Q199" s="20">
        <f t="shared" si="59"/>
        <v>0.59166134835359396</v>
      </c>
      <c r="R199" s="20">
        <f t="shared" si="60"/>
        <v>1</v>
      </c>
      <c r="S199" s="5">
        <f t="shared" si="63"/>
        <v>316.40105709676095</v>
      </c>
      <c r="T199" s="5">
        <f>S199*'Gas Calculations'!LSLT</f>
        <v>284.76095138708484</v>
      </c>
      <c r="U199" s="5">
        <f>AVERAGE(S193:S197)</f>
        <v>315.41347253917223</v>
      </c>
      <c r="V199" s="5">
        <f>AVERAGE(T193:T197)</f>
        <v>283.87212528525504</v>
      </c>
      <c r="W199" s="62">
        <f t="shared" si="61"/>
        <v>0.86570247933884303</v>
      </c>
    </row>
    <row r="200" spans="2:23" x14ac:dyDescent="0.35">
      <c r="B200">
        <v>179</v>
      </c>
      <c r="C200" s="16" t="str">
        <f t="shared" si="46"/>
        <v>Mon</v>
      </c>
      <c r="D200" s="12">
        <v>44830</v>
      </c>
      <c r="E200">
        <f t="shared" si="62"/>
        <v>4</v>
      </c>
      <c r="F200" s="61">
        <f t="shared" si="48"/>
        <v>242</v>
      </c>
      <c r="G200" s="61">
        <f t="shared" si="49"/>
        <v>51</v>
      </c>
      <c r="H200" s="61">
        <f t="shared" si="50"/>
        <v>179</v>
      </c>
      <c r="I200" s="61">
        <f t="shared" si="51"/>
        <v>130</v>
      </c>
      <c r="J200" s="61">
        <f t="shared" si="52"/>
        <v>26</v>
      </c>
      <c r="K200" s="11">
        <f t="shared" si="53"/>
        <v>1.6528925619834711E-2</v>
      </c>
      <c r="L200" s="11">
        <f t="shared" si="54"/>
        <v>4.015362912013049E-3</v>
      </c>
      <c r="M200" s="11">
        <f t="shared" si="55"/>
        <v>0.74173553719008267</v>
      </c>
      <c r="N200" s="11">
        <f t="shared" si="56"/>
        <v>0.56154612651349611</v>
      </c>
      <c r="O200" s="11">
        <f t="shared" si="57"/>
        <v>0.10743801652892562</v>
      </c>
      <c r="P200" s="11">
        <f t="shared" si="58"/>
        <v>2.6099858928084817E-2</v>
      </c>
      <c r="Q200" s="20">
        <f t="shared" si="59"/>
        <v>0.59166134835359407</v>
      </c>
      <c r="R200" s="20">
        <f t="shared" si="60"/>
        <v>0.99999999999999978</v>
      </c>
      <c r="S200" s="5">
        <f t="shared" si="63"/>
        <v>316.64795323615812</v>
      </c>
      <c r="T200" s="5">
        <f>S200*'Gas Calculations'!LSLT</f>
        <v>284.98315791254231</v>
      </c>
      <c r="U200" s="5">
        <f>U199</f>
        <v>315.41347253917223</v>
      </c>
      <c r="V200" s="5">
        <f>V199</f>
        <v>283.87212528525504</v>
      </c>
      <c r="W200" s="62">
        <f t="shared" si="61"/>
        <v>0.86570247933884292</v>
      </c>
    </row>
    <row r="201" spans="2:23" x14ac:dyDescent="0.35">
      <c r="B201">
        <v>180</v>
      </c>
      <c r="C201" s="16" t="str">
        <f t="shared" si="46"/>
        <v>Tue</v>
      </c>
      <c r="D201" s="12">
        <v>44831</v>
      </c>
      <c r="E201">
        <f t="shared" si="62"/>
        <v>3</v>
      </c>
      <c r="F201" s="61">
        <f t="shared" si="48"/>
        <v>242</v>
      </c>
      <c r="G201" s="61">
        <f t="shared" si="49"/>
        <v>51</v>
      </c>
      <c r="H201" s="61">
        <f t="shared" si="50"/>
        <v>180</v>
      </c>
      <c r="I201" s="61">
        <f t="shared" si="51"/>
        <v>131</v>
      </c>
      <c r="J201" s="61">
        <f t="shared" si="52"/>
        <v>27</v>
      </c>
      <c r="K201" s="11">
        <f t="shared" si="53"/>
        <v>1.2396694214876033E-2</v>
      </c>
      <c r="L201" s="11">
        <f t="shared" si="54"/>
        <v>3.011522184009787E-3</v>
      </c>
      <c r="M201" s="11">
        <f t="shared" si="55"/>
        <v>0.74173553719008267</v>
      </c>
      <c r="N201" s="11">
        <f t="shared" si="56"/>
        <v>0.56154612651349611</v>
      </c>
      <c r="O201" s="11">
        <f t="shared" si="57"/>
        <v>0.1115702479338843</v>
      </c>
      <c r="P201" s="11">
        <f t="shared" si="58"/>
        <v>2.7103699656088082E-2</v>
      </c>
      <c r="Q201" s="20">
        <f t="shared" si="59"/>
        <v>0.59166134835359396</v>
      </c>
      <c r="R201" s="20">
        <f t="shared" si="60"/>
        <v>1</v>
      </c>
      <c r="S201" s="5">
        <f t="shared" si="63"/>
        <v>316.89484937555534</v>
      </c>
      <c r="T201" s="5">
        <f>S201*'Gas Calculations'!LSLT</f>
        <v>285.20536443799983</v>
      </c>
      <c r="U201" s="5">
        <f>U199</f>
        <v>315.41347253917223</v>
      </c>
      <c r="V201" s="5">
        <f>V199</f>
        <v>283.87212528525504</v>
      </c>
      <c r="W201" s="62">
        <f t="shared" si="61"/>
        <v>0.86570247933884292</v>
      </c>
    </row>
    <row r="202" spans="2:23" x14ac:dyDescent="0.35">
      <c r="B202">
        <v>181</v>
      </c>
      <c r="C202" s="16" t="str">
        <f t="shared" si="46"/>
        <v>Wed</v>
      </c>
      <c r="D202" s="12">
        <v>44832</v>
      </c>
      <c r="E202">
        <f t="shared" si="62"/>
        <v>2</v>
      </c>
      <c r="F202" s="61">
        <f t="shared" si="48"/>
        <v>242</v>
      </c>
      <c r="G202" s="61">
        <f t="shared" si="49"/>
        <v>51</v>
      </c>
      <c r="H202" s="61">
        <f t="shared" si="50"/>
        <v>181</v>
      </c>
      <c r="I202" s="61">
        <f t="shared" si="51"/>
        <v>132</v>
      </c>
      <c r="J202" s="61">
        <f t="shared" si="52"/>
        <v>28</v>
      </c>
      <c r="K202" s="11">
        <f t="shared" si="53"/>
        <v>8.2644628099173556E-3</v>
      </c>
      <c r="L202" s="11">
        <f t="shared" si="54"/>
        <v>2.0076814560065245E-3</v>
      </c>
      <c r="M202" s="11">
        <f t="shared" si="55"/>
        <v>0.74173553719008267</v>
      </c>
      <c r="N202" s="11">
        <f t="shared" si="56"/>
        <v>0.56154612651349611</v>
      </c>
      <c r="O202" s="11">
        <f t="shared" si="57"/>
        <v>0.11570247933884298</v>
      </c>
      <c r="P202" s="11">
        <f t="shared" si="58"/>
        <v>2.8107540384091342E-2</v>
      </c>
      <c r="Q202" s="20">
        <f t="shared" si="59"/>
        <v>0.59166134835359396</v>
      </c>
      <c r="R202" s="20">
        <f t="shared" si="60"/>
        <v>1</v>
      </c>
      <c r="S202" s="5">
        <f t="shared" si="63"/>
        <v>317.1417455149525</v>
      </c>
      <c r="T202" s="5">
        <f>S202*'Gas Calculations'!LSLT</f>
        <v>285.42757096345724</v>
      </c>
      <c r="U202" s="5">
        <f>U199</f>
        <v>315.41347253917223</v>
      </c>
      <c r="V202" s="5">
        <f>V199</f>
        <v>283.87212528525504</v>
      </c>
      <c r="W202" s="62">
        <f t="shared" si="61"/>
        <v>0.86570247933884303</v>
      </c>
    </row>
    <row r="203" spans="2:23" x14ac:dyDescent="0.35">
      <c r="B203">
        <v>182</v>
      </c>
      <c r="C203" s="16" t="str">
        <f t="shared" si="46"/>
        <v>Thu</v>
      </c>
      <c r="D203" s="12">
        <v>44833</v>
      </c>
      <c r="E203">
        <f t="shared" si="62"/>
        <v>1</v>
      </c>
      <c r="F203" s="61">
        <f t="shared" si="48"/>
        <v>242</v>
      </c>
      <c r="G203" s="61">
        <f t="shared" si="49"/>
        <v>51</v>
      </c>
      <c r="H203" s="61">
        <f t="shared" si="50"/>
        <v>182</v>
      </c>
      <c r="I203" s="61">
        <f t="shared" si="51"/>
        <v>133</v>
      </c>
      <c r="J203" s="61">
        <f t="shared" si="52"/>
        <v>29</v>
      </c>
      <c r="K203" s="11">
        <f t="shared" si="53"/>
        <v>4.1322314049586778E-3</v>
      </c>
      <c r="L203" s="11">
        <f t="shared" si="54"/>
        <v>1.0038407280032623E-3</v>
      </c>
      <c r="M203" s="11">
        <f t="shared" si="55"/>
        <v>0.74173553719008267</v>
      </c>
      <c r="N203" s="11">
        <f t="shared" si="56"/>
        <v>0.56154612651349611</v>
      </c>
      <c r="O203" s="11">
        <f t="shared" si="57"/>
        <v>0.11983471074380166</v>
      </c>
      <c r="P203" s="11">
        <f t="shared" si="58"/>
        <v>2.9111381112094607E-2</v>
      </c>
      <c r="Q203" s="20">
        <f t="shared" si="59"/>
        <v>0.59166134835359407</v>
      </c>
      <c r="R203" s="20">
        <f t="shared" si="60"/>
        <v>0.99999999999999978</v>
      </c>
      <c r="S203" s="5">
        <f t="shared" si="63"/>
        <v>317.38864165434961</v>
      </c>
      <c r="T203" s="5">
        <f>S203*'Gas Calculations'!LSLT</f>
        <v>285.64977748891465</v>
      </c>
      <c r="U203" s="5">
        <f>U199</f>
        <v>315.41347253917223</v>
      </c>
      <c r="V203" s="5">
        <f>V199</f>
        <v>283.87212528525504</v>
      </c>
      <c r="W203" s="62">
        <f t="shared" si="61"/>
        <v>0.86570247933884303</v>
      </c>
    </row>
    <row r="204" spans="2:23" x14ac:dyDescent="0.35">
      <c r="B204">
        <v>183</v>
      </c>
      <c r="C204" s="16" t="str">
        <f t="shared" si="46"/>
        <v>Fri</v>
      </c>
      <c r="D204" s="12">
        <v>44834</v>
      </c>
      <c r="E204">
        <f t="shared" si="62"/>
        <v>0</v>
      </c>
      <c r="F204" s="61">
        <f t="shared" si="48"/>
        <v>242</v>
      </c>
      <c r="G204" s="61">
        <f t="shared" si="49"/>
        <v>51</v>
      </c>
      <c r="H204" s="61">
        <f t="shared" si="50"/>
        <v>183</v>
      </c>
      <c r="I204" s="61">
        <f t="shared" si="51"/>
        <v>134</v>
      </c>
      <c r="J204" s="61">
        <f t="shared" si="52"/>
        <v>30</v>
      </c>
      <c r="K204" s="11">
        <f t="shared" si="53"/>
        <v>0</v>
      </c>
      <c r="L204" s="11">
        <f t="shared" si="54"/>
        <v>0</v>
      </c>
      <c r="M204" s="11">
        <f t="shared" si="55"/>
        <v>0.74173553719008267</v>
      </c>
      <c r="N204" s="11">
        <f t="shared" si="56"/>
        <v>0.56154612651349611</v>
      </c>
      <c r="O204" s="11">
        <f t="shared" si="57"/>
        <v>0.12396694214876033</v>
      </c>
      <c r="P204" s="11">
        <f t="shared" si="58"/>
        <v>3.0115221840097867E-2</v>
      </c>
      <c r="Q204" s="20">
        <f t="shared" si="59"/>
        <v>0.59166134835359396</v>
      </c>
      <c r="R204" s="20">
        <f t="shared" si="60"/>
        <v>1</v>
      </c>
      <c r="S204" s="5">
        <f t="shared" si="63"/>
        <v>317.63553779374689</v>
      </c>
      <c r="T204" s="5">
        <f>S204*'Gas Calculations'!LSLT</f>
        <v>285.87198401437223</v>
      </c>
      <c r="U204" s="5">
        <f>U199</f>
        <v>315.41347253917223</v>
      </c>
      <c r="V204" s="5">
        <f>V199</f>
        <v>283.87212528525504</v>
      </c>
      <c r="W204" s="62">
        <f t="shared" si="61"/>
        <v>0.86570247933884303</v>
      </c>
    </row>
  </sheetData>
  <mergeCells count="2">
    <mergeCell ref="C19:D19"/>
    <mergeCell ref="C18:D1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otes xmlns="acd03b4c-6354-4256-bad1-3aac3163c37d" xsi:nil="true"/>
    <Supplier xmlns="acd03b4c-6354-4256-bad1-3aac3163c37d" xsi:nil="true"/>
    <Status xmlns="acd03b4c-6354-4256-bad1-3aac3163c37d" xsi:nil="true"/>
    <_ip_UnifiedCompliancePolicyProperties xmlns="http://schemas.microsoft.com/sharepoint/v3" xsi:nil="true"/>
    <SharedWithUsers xmlns="67d01bf7-0249-4c80-a1cc-28c5e99ab06e">
      <UserInfo>
        <DisplayName>Christopher McDermott</DisplayName>
        <AccountId>114</AccountId>
        <AccountType/>
      </UserInfo>
      <UserInfo>
        <DisplayName>Kenza Bennis</DisplayName>
        <AccountId>141</AccountId>
        <AccountType/>
      </UserInfo>
      <UserInfo>
        <DisplayName>Anjana Logan</DisplayName>
        <AccountId>1013</AccountId>
        <AccountType/>
      </UserInfo>
    </SharedWithUsers>
    <lcf76f155ced4ddcb4097134ff3c332f xmlns="acd03b4c-6354-4256-bad1-3aac3163c37d">
      <Terms xmlns="http://schemas.microsoft.com/office/infopath/2007/PartnerControls"/>
    </lcf76f155ced4ddcb4097134ff3c332f>
    <TaxCatchAll xmlns="67d01bf7-0249-4c80-a1cc-28c5e99ab06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20A74851E5684AB3B63F79F30AFF74" ma:contentTypeVersion="21" ma:contentTypeDescription="Create a new document." ma:contentTypeScope="" ma:versionID="9a15770f420c0ac2b779e2db010ba647">
  <xsd:schema xmlns:xsd="http://www.w3.org/2001/XMLSchema" xmlns:xs="http://www.w3.org/2001/XMLSchema" xmlns:p="http://schemas.microsoft.com/office/2006/metadata/properties" xmlns:ns1="http://schemas.microsoft.com/sharepoint/v3" xmlns:ns2="acd03b4c-6354-4256-bad1-3aac3163c37d" xmlns:ns3="67d01bf7-0249-4c80-a1cc-28c5e99ab06e" targetNamespace="http://schemas.microsoft.com/office/2006/metadata/properties" ma:root="true" ma:fieldsID="6ba6037eadcb2f988f713f68ddec0e35" ns1:_="" ns2:_="" ns3:_="">
    <xsd:import namespace="http://schemas.microsoft.com/sharepoint/v3"/>
    <xsd:import namespace="acd03b4c-6354-4256-bad1-3aac3163c37d"/>
    <xsd:import namespace="67d01bf7-0249-4c80-a1cc-28c5e99ab0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Notes" minOccurs="0"/>
                <xsd:element ref="ns2:Status"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Supplie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d03b4c-6354-4256-bad1-3aac3163c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Notes" ma:index="14" nillable="true" ma:displayName="Notes" ma:format="Dropdown" ma:internalName="Notes">
      <xsd:simpleType>
        <xsd:restriction base="dms:Text">
          <xsd:maxLength value="255"/>
        </xsd:restriction>
      </xsd:simpleType>
    </xsd:element>
    <xsd:element name="Status" ma:index="15" nillable="true" ma:displayName="Status" ma:format="Dropdown" ma:internalName="Status">
      <xsd:simpleType>
        <xsd:restriction base="dms:Choice">
          <xsd:enumeration value="Draft"/>
          <xsd:enumeration value="Final"/>
          <xsd:enumeration value="Sent"/>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Supplier" ma:index="22" nillable="true" ma:displayName="Supplier" ma:format="Dropdown" ma:internalName="Supplier">
      <xsd:simpleType>
        <xsd:restriction base="dms:Choice">
          <xsd:enumeration value="Deloitte"/>
          <xsd:enumeration value="KPMG"/>
          <xsd:enumeration value="EY"/>
          <xsd:enumeration value="Baringa"/>
          <xsd:enumeration value="PWC"/>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01bf7-0249-4c80-a1cc-28c5e99ab0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be465d68-9328-4381-bed6-e464e96850d5}" ma:internalName="TaxCatchAll" ma:showField="CatchAllData" ma:web="67d01bf7-0249-4c80-a1cc-28c5e99ab0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1038B147-AEEE-403D-ADC0-D4FF2EBEC0AA}">
  <ds:schemaRefs>
    <ds:schemaRef ds:uri="http://schemas.microsoft.com/sharepoint/v3"/>
    <ds:schemaRef ds:uri="http://schemas.microsoft.com/office/2006/documentManagement/types"/>
    <ds:schemaRef ds:uri="http://purl.org/dc/elements/1.1/"/>
    <ds:schemaRef ds:uri="http://www.w3.org/XML/1998/namespace"/>
    <ds:schemaRef ds:uri="acd03b4c-6354-4256-bad1-3aac3163c37d"/>
    <ds:schemaRef ds:uri="http://schemas.microsoft.com/office/infopath/2007/PartnerControls"/>
    <ds:schemaRef ds:uri="http://purl.org/dc/terms/"/>
    <ds:schemaRef ds:uri="http://purl.org/dc/dcmitype/"/>
    <ds:schemaRef ds:uri="http://schemas.openxmlformats.org/package/2006/metadata/core-properties"/>
    <ds:schemaRef ds:uri="67d01bf7-0249-4c80-a1cc-28c5e99ab06e"/>
    <ds:schemaRef ds:uri="http://schemas.microsoft.com/office/2006/metadata/properties"/>
  </ds:schemaRefs>
</ds:datastoreItem>
</file>

<file path=customXml/itemProps2.xml><?xml version="1.0" encoding="utf-8"?>
<ds:datastoreItem xmlns:ds="http://schemas.openxmlformats.org/officeDocument/2006/customXml" ds:itemID="{2FACF1C8-4D34-4400-A50E-A69D85853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d03b4c-6354-4256-bad1-3aac3163c37d"/>
    <ds:schemaRef ds:uri="67d01bf7-0249-4c80-a1cc-28c5e99ab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81C0E2-4D1E-4A2D-B837-35CBB1BE4E96}">
  <ds:schemaRefs>
    <ds:schemaRef ds:uri="http://schemas.microsoft.com/sharepoint/v3/contenttype/forms"/>
  </ds:schemaRefs>
</ds:datastoreItem>
</file>

<file path=customXml/itemProps4.xml><?xml version="1.0" encoding="utf-8"?>
<ds:datastoreItem xmlns:ds="http://schemas.openxmlformats.org/officeDocument/2006/customXml" ds:itemID="{7E3728AC-3068-413C-A26F-735867C0DF8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4</vt:i4>
      </vt:variant>
      <vt:variant>
        <vt:lpstr>Named Ranges</vt:lpstr>
      </vt:variant>
      <vt:variant>
        <vt:i4>26</vt:i4>
      </vt:variant>
    </vt:vector>
  </HeadingPairs>
  <TitlesOfParts>
    <vt:vector size="40" baseType="lpstr">
      <vt:lpstr>Readme</vt:lpstr>
      <vt:lpstr>Publication Format</vt:lpstr>
      <vt:lpstr>Elec Mkt Stabilisation Charge</vt:lpstr>
      <vt:lpstr>Elec Calculations</vt:lpstr>
      <vt:lpstr>Elec Wpc</vt:lpstr>
      <vt:lpstr>Elec Wc</vt:lpstr>
      <vt:lpstr>Gas Mkt Stabilisation Chart</vt:lpstr>
      <vt:lpstr>Gas Calculations</vt:lpstr>
      <vt:lpstr>Gas Wpc</vt:lpstr>
      <vt:lpstr>Gas Wc</vt:lpstr>
      <vt:lpstr>Elec Wpc chart</vt:lpstr>
      <vt:lpstr>Elec Wc chart</vt:lpstr>
      <vt:lpstr>Gas Wpc chart</vt:lpstr>
      <vt:lpstr>Gas Wc chart</vt:lpstr>
      <vt:lpstr>'Gas Calculations'!LSLT</vt:lpstr>
      <vt:lpstr>LSLT</vt:lpstr>
      <vt:lpstr>'Gas Wpc'!PCc</vt:lpstr>
      <vt:lpstr>PCc</vt:lpstr>
      <vt:lpstr>'Gas Wpc'!PCn</vt:lpstr>
      <vt:lpstr>PCn</vt:lpstr>
      <vt:lpstr>'Gas Wpc'!PCn_0</vt:lpstr>
      <vt:lpstr>PCn_0</vt:lpstr>
      <vt:lpstr>'Gas Wpc'!PCn_1</vt:lpstr>
      <vt:lpstr>PCn_1</vt:lpstr>
      <vt:lpstr>'Gas Wpc'!PCn_2</vt:lpstr>
      <vt:lpstr>PCn_2</vt:lpstr>
      <vt:lpstr>'Gas Wpc'!PCna</vt:lpstr>
      <vt:lpstr>PCna</vt:lpstr>
      <vt:lpstr>'Gas Wpc'!Sn</vt:lpstr>
      <vt:lpstr>Sn</vt:lpstr>
      <vt:lpstr>'Gas Wpc'!Sr</vt:lpstr>
      <vt:lpstr>Sr</vt:lpstr>
      <vt:lpstr>'Gas Wc'!Wc</vt:lpstr>
      <vt:lpstr>Wc</vt:lpstr>
      <vt:lpstr>'Gas Wpc'!Wpc</vt:lpstr>
      <vt:lpstr>Wpc</vt:lpstr>
      <vt:lpstr>'Gas Wpc'!Wt</vt:lpstr>
      <vt:lpstr>Wt</vt:lpstr>
      <vt:lpstr>'Gas Calculations'!X</vt:lpstr>
      <vt:lpstr>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Hicks</dc:creator>
  <cp:keywords/>
  <dc:description/>
  <cp:lastModifiedBy>Lucy Hare</cp:lastModifiedBy>
  <cp:revision/>
  <dcterms:created xsi:type="dcterms:W3CDTF">2022-02-02T14:07:04Z</dcterms:created>
  <dcterms:modified xsi:type="dcterms:W3CDTF">2022-05-12T17:37:23Z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f46b8e78-aca7-48b2-8d49-95137db1960c</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msnFjUlApO1UcQ9Ahrv+RveoNMH1/0Bp</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0x0101000B20A74851E5684AB3B63F79F30AFF74</vt:lpwstr>
  </property>
  <property fmtid="{D5CDD505-2E9C-101B-9397-08002B2CF9AE}" pid="15" name="MSIP_Label_38144ccb-b10a-4c0f-b070-7a3b00ac7463_Enabled">
    <vt:lpwstr>true</vt:lpwstr>
  </property>
  <property fmtid="{D5CDD505-2E9C-101B-9397-08002B2CF9AE}" pid="16" name="MSIP_Label_38144ccb-b10a-4c0f-b070-7a3b00ac7463_SetDate">
    <vt:lpwstr>2022-04-06T12:45:06Z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52aced1c-98e1-4d2d-8454-ddd945deb0da</vt:lpwstr>
  </property>
  <property fmtid="{D5CDD505-2E9C-101B-9397-08002B2CF9AE}" pid="21" name="MSIP_Label_38144ccb-b10a-4c0f-b070-7a3b00ac7463_ContentBits">
    <vt:lpwstr>2</vt:lpwstr>
  </property>
  <property fmtid="{D5CDD505-2E9C-101B-9397-08002B2CF9AE}" pid="22" name="MediaServiceImageTags">
    <vt:lpwstr/>
  </property>
</Properties>
</file>